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rojects\Misc\Cash Flow for Projects\2019-06\"/>
    </mc:Choice>
  </mc:AlternateContent>
  <bookViews>
    <workbookView xWindow="240" yWindow="330" windowWidth="18915" windowHeight="11535"/>
  </bookViews>
  <sheets>
    <sheet name="Forecast" sheetId="1" r:id="rId1"/>
    <sheet name="Actuals" sheetId="2" r:id="rId2"/>
  </sheets>
  <externalReferences>
    <externalReference r:id="rId3"/>
  </externalReferences>
  <definedNames>
    <definedName name="_Order1" hidden="1">255</definedName>
    <definedName name="_Order2" hidden="1">255</definedName>
    <definedName name="_xlnm.Database">'[1]Numbers for Database'!$A$4:$B$19</definedName>
    <definedName name="Database2">'[1]Numbers for Database'!$A$22:$B$42</definedName>
    <definedName name="_xlnm.Print_Area" localSheetId="1">Actuals!$F$9:$P$46</definedName>
    <definedName name="_xlnm.Print_Area" localSheetId="0">Forecast!$F$10:$AJ$56</definedName>
    <definedName name="_xlnm.Print_Titles" localSheetId="1">Actuals!$F:$G</definedName>
    <definedName name="_xlnm.Print_Titles" localSheetId="0">Forecast!$F:$G</definedName>
    <definedName name="ProjectIdentifier">'[1]Numbers for Database'!$A$57:$B$70</definedName>
    <definedName name="Source">'[1]Numbers for Database'!$A$22:$A$42</definedName>
  </definedNames>
  <calcPr calcId="162913" concurrentCalc="0"/>
</workbook>
</file>

<file path=xl/calcChain.xml><?xml version="1.0" encoding="utf-8"?>
<calcChain xmlns="http://schemas.openxmlformats.org/spreadsheetml/2006/main">
  <c r="B24" i="1" l="1"/>
  <c r="F9" i="2"/>
  <c r="G33" i="2"/>
  <c r="G35" i="2"/>
  <c r="G36" i="2"/>
  <c r="G37" i="2"/>
  <c r="G31" i="2"/>
  <c r="M38" i="2"/>
  <c r="O38" i="2"/>
  <c r="K4" i="2"/>
  <c r="K6" i="2"/>
  <c r="G36" i="1"/>
  <c r="G13" i="1"/>
  <c r="I11" i="2"/>
  <c r="J11" i="2"/>
  <c r="K11" i="2"/>
  <c r="G17" i="2"/>
  <c r="G18" i="2"/>
  <c r="G19" i="2"/>
  <c r="G20" i="2"/>
  <c r="G21" i="2"/>
  <c r="G22" i="2"/>
  <c r="G23" i="2"/>
  <c r="G24" i="2"/>
  <c r="G25" i="2"/>
  <c r="G15" i="2"/>
  <c r="G16" i="2"/>
  <c r="G14" i="2"/>
  <c r="J4" i="2"/>
  <c r="J6" i="2"/>
  <c r="B37" i="2"/>
  <c r="B36" i="2"/>
  <c r="B35" i="2"/>
  <c r="B34" i="2"/>
  <c r="B33" i="2"/>
  <c r="B32" i="2"/>
  <c r="B31" i="2"/>
  <c r="B27" i="2"/>
  <c r="B15" i="2"/>
  <c r="B16" i="2"/>
  <c r="B17" i="2"/>
  <c r="B18" i="2"/>
  <c r="B19" i="2"/>
  <c r="B20" i="2"/>
  <c r="B21" i="2"/>
  <c r="B22" i="2"/>
  <c r="B23" i="2"/>
  <c r="B24" i="2"/>
  <c r="B25" i="2"/>
  <c r="B14" i="2"/>
  <c r="H11" i="2"/>
  <c r="I4" i="2"/>
  <c r="I6" i="2"/>
  <c r="G26" i="2"/>
  <c r="H22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21" i="1"/>
  <c r="G34" i="2"/>
  <c r="G32" i="2"/>
  <c r="B46" i="1"/>
  <c r="I12" i="2"/>
  <c r="I22" i="1"/>
  <c r="AF22" i="1"/>
  <c r="H4" i="2"/>
  <c r="H6" i="2"/>
  <c r="J12" i="2"/>
  <c r="G49" i="1"/>
  <c r="G39" i="2"/>
  <c r="B47" i="1"/>
  <c r="B45" i="1"/>
  <c r="B44" i="1"/>
  <c r="B43" i="1"/>
  <c r="B42" i="1"/>
  <c r="B41" i="1"/>
  <c r="W22" i="1"/>
  <c r="AE36" i="1"/>
  <c r="AE53" i="1"/>
  <c r="AD36" i="1"/>
  <c r="AD53" i="1"/>
  <c r="G4" i="1"/>
  <c r="G6" i="1"/>
  <c r="B37" i="1"/>
  <c r="B25" i="1"/>
  <c r="B26" i="1"/>
  <c r="B27" i="1"/>
  <c r="B28" i="1"/>
  <c r="B29" i="1"/>
  <c r="B30" i="1"/>
  <c r="B31" i="1"/>
  <c r="B32" i="1"/>
  <c r="B33" i="1"/>
  <c r="B34" i="1"/>
  <c r="B35" i="1"/>
  <c r="H12" i="2"/>
  <c r="K12" i="2"/>
  <c r="M22" i="1"/>
  <c r="U22" i="1"/>
  <c r="AC22" i="1"/>
  <c r="L22" i="1"/>
  <c r="T22" i="1"/>
  <c r="AB22" i="1"/>
  <c r="P22" i="1"/>
  <c r="X22" i="1"/>
  <c r="O22" i="1"/>
  <c r="N22" i="1"/>
  <c r="V22" i="1"/>
  <c r="K22" i="1"/>
  <c r="S22" i="1"/>
  <c r="AA22" i="1"/>
  <c r="AE22" i="1"/>
  <c r="J22" i="1"/>
  <c r="R22" i="1"/>
  <c r="Z22" i="1"/>
  <c r="AD22" i="1"/>
  <c r="Q22" i="1"/>
  <c r="Y22" i="1"/>
  <c r="AF36" i="1"/>
  <c r="AF53" i="1"/>
  <c r="AC36" i="1"/>
  <c r="AC53" i="1"/>
  <c r="AB36" i="1"/>
  <c r="AB53" i="1"/>
  <c r="AA36" i="1"/>
  <c r="AA53" i="1"/>
  <c r="Z36" i="1"/>
  <c r="Z53" i="1"/>
  <c r="Y36" i="1"/>
  <c r="Y53" i="1"/>
  <c r="X36" i="1"/>
  <c r="X53" i="1"/>
  <c r="W36" i="1"/>
  <c r="W53" i="1"/>
  <c r="V36" i="1"/>
  <c r="V53" i="1"/>
  <c r="U36" i="1"/>
  <c r="U53" i="1"/>
  <c r="T36" i="1"/>
  <c r="T53" i="1"/>
  <c r="S36" i="1"/>
  <c r="S53" i="1"/>
  <c r="R36" i="1"/>
  <c r="R53" i="1"/>
  <c r="Q36" i="1"/>
  <c r="Q53" i="1"/>
  <c r="P36" i="1"/>
  <c r="P53" i="1"/>
  <c r="O36" i="1"/>
  <c r="O53" i="1"/>
  <c r="N36" i="1"/>
  <c r="N53" i="1"/>
  <c r="M36" i="1"/>
  <c r="M53" i="1"/>
  <c r="L36" i="1"/>
  <c r="L53" i="1"/>
  <c r="K36" i="1"/>
  <c r="K53" i="1"/>
  <c r="I36" i="1"/>
  <c r="I53" i="1"/>
  <c r="J36" i="1"/>
  <c r="J53" i="1"/>
  <c r="AG48" i="1"/>
  <c r="AI48" i="1"/>
  <c r="O43" i="2"/>
  <c r="M31" i="2"/>
  <c r="M32" i="2"/>
  <c r="M33" i="2"/>
  <c r="M34" i="2"/>
  <c r="M35" i="2"/>
  <c r="M36" i="2"/>
  <c r="M37" i="2"/>
  <c r="H40" i="2"/>
  <c r="I40" i="2"/>
  <c r="J40" i="2"/>
  <c r="K40" i="2"/>
  <c r="M40" i="2"/>
  <c r="M14" i="2"/>
  <c r="M15" i="2"/>
  <c r="M16" i="2"/>
  <c r="M17" i="2"/>
  <c r="M18" i="2"/>
  <c r="M19" i="2"/>
  <c r="M20" i="2"/>
  <c r="M21" i="2"/>
  <c r="M22" i="2"/>
  <c r="M23" i="2"/>
  <c r="M24" i="2"/>
  <c r="M25" i="2"/>
  <c r="M27" i="2"/>
  <c r="M43" i="2"/>
  <c r="K43" i="2"/>
  <c r="J43" i="2"/>
  <c r="I43" i="2"/>
  <c r="H43" i="2"/>
  <c r="O31" i="2"/>
  <c r="O32" i="2"/>
  <c r="O33" i="2"/>
  <c r="O34" i="2"/>
  <c r="O35" i="2"/>
  <c r="O36" i="2"/>
  <c r="O37" i="2"/>
  <c r="O40" i="2"/>
  <c r="O14" i="2"/>
  <c r="O15" i="2"/>
  <c r="O16" i="2"/>
  <c r="O17" i="2"/>
  <c r="O18" i="2"/>
  <c r="O19" i="2"/>
  <c r="O20" i="2"/>
  <c r="O21" i="2"/>
  <c r="O22" i="2"/>
  <c r="O23" i="2"/>
  <c r="O24" i="2"/>
  <c r="O25" i="2"/>
  <c r="O27" i="2"/>
  <c r="AG41" i="1"/>
  <c r="AI41" i="1"/>
  <c r="AG42" i="1"/>
  <c r="AI42" i="1"/>
  <c r="AG43" i="1"/>
  <c r="AI43" i="1"/>
  <c r="AG44" i="1"/>
  <c r="AI44" i="1"/>
  <c r="AG45" i="1"/>
  <c r="AI45" i="1"/>
  <c r="AG46" i="1"/>
  <c r="AI46" i="1"/>
  <c r="AG47" i="1"/>
  <c r="AI47" i="1"/>
  <c r="AI49" i="1"/>
  <c r="AG24" i="1"/>
  <c r="AI24" i="1"/>
  <c r="AG25" i="1"/>
  <c r="AI25" i="1"/>
  <c r="AG26" i="1"/>
  <c r="AI26" i="1"/>
  <c r="AG27" i="1"/>
  <c r="AI27" i="1"/>
  <c r="AG28" i="1"/>
  <c r="AI28" i="1"/>
  <c r="AG29" i="1"/>
  <c r="AI29" i="1"/>
  <c r="AG30" i="1"/>
  <c r="AI30" i="1"/>
  <c r="AG31" i="1"/>
  <c r="AI31" i="1"/>
  <c r="AG32" i="1"/>
  <c r="AI32" i="1"/>
  <c r="AG33" i="1"/>
  <c r="AI33" i="1"/>
  <c r="AG34" i="1"/>
  <c r="AI34" i="1"/>
  <c r="AG35" i="1"/>
  <c r="AI35" i="1"/>
  <c r="AI36" i="1"/>
  <c r="AI53" i="1"/>
  <c r="AI54" i="1"/>
  <c r="AG49" i="1"/>
  <c r="AG36" i="1"/>
  <c r="AG53" i="1"/>
  <c r="H50" i="1"/>
  <c r="H53" i="1"/>
</calcChain>
</file>

<file path=xl/sharedStrings.xml><?xml version="1.0" encoding="utf-8"?>
<sst xmlns="http://schemas.openxmlformats.org/spreadsheetml/2006/main" count="230" uniqueCount="94">
  <si>
    <t>City of Overland Park Cash Flow Projection</t>
  </si>
  <si>
    <t>Project Description:</t>
  </si>
  <si>
    <t>Completed By:</t>
  </si>
  <si>
    <t>C.I.P. Project Number:</t>
  </si>
  <si>
    <t>Last Updated:</t>
  </si>
  <si>
    <t>Total Project Amount:</t>
  </si>
  <si>
    <t>Forecasted Expenditures:</t>
  </si>
  <si>
    <t>Actual Expenditures:</t>
  </si>
  <si>
    <t>Forecasted Reimbursement:</t>
  </si>
  <si>
    <t>Actual Reimbursements:</t>
  </si>
  <si>
    <t>Ledger Type</t>
  </si>
  <si>
    <t>AA</t>
  </si>
  <si>
    <t>Year</t>
  </si>
  <si>
    <t>Format</t>
  </si>
  <si>
    <t>LTD</t>
  </si>
  <si>
    <t>Period</t>
  </si>
  <si>
    <t>Currency</t>
  </si>
  <si>
    <t>***</t>
  </si>
  <si>
    <t>*</t>
  </si>
  <si>
    <t>[9780,9880,9882]</t>
  </si>
  <si>
    <t>Construction Costs</t>
  </si>
  <si>
    <t>Estimated Change Orders</t>
  </si>
  <si>
    <t>9040</t>
  </si>
  <si>
    <t>9220</t>
  </si>
  <si>
    <t>51</t>
  </si>
  <si>
    <t>Materials Testing</t>
  </si>
  <si>
    <t>9060</t>
  </si>
  <si>
    <t>Design</t>
  </si>
  <si>
    <t>9000</t>
  </si>
  <si>
    <t>Consultant EDC</t>
  </si>
  <si>
    <t>9750.9751</t>
  </si>
  <si>
    <t>ROW and Easement Acquisition</t>
  </si>
  <si>
    <t>9881</t>
  </si>
  <si>
    <t>Utility Relocations</t>
  </si>
  <si>
    <t>5</t>
  </si>
  <si>
    <t>Financing</t>
  </si>
  <si>
    <t>[7280,8800,9020,9070,9500,9530,9752]</t>
  </si>
  <si>
    <t>Administrative Costs</t>
  </si>
  <si>
    <t>[9710.9740,9883]</t>
  </si>
  <si>
    <t>Land Acquisition</t>
  </si>
  <si>
    <t>[9690,9870,8420,8430]</t>
  </si>
  <si>
    <t>Other</t>
  </si>
  <si>
    <t>6720</t>
  </si>
  <si>
    <t>1cty</t>
  </si>
  <si>
    <t>1kdot</t>
  </si>
  <si>
    <t>KS Dept. of Transportation</t>
  </si>
  <si>
    <t>6901</t>
  </si>
  <si>
    <t>180*</t>
  </si>
  <si>
    <t>CO</t>
  </si>
  <si>
    <t>BU</t>
  </si>
  <si>
    <t>SubAcct</t>
  </si>
  <si>
    <t>ObjectAcct</t>
  </si>
  <si>
    <t>[7001.9999,/9901]</t>
  </si>
  <si>
    <t>Project Budget</t>
  </si>
  <si>
    <t>Total Projected Cash Flow</t>
  </si>
  <si>
    <t>Variance - Projected to Budget</t>
  </si>
  <si>
    <t>Community Development Block Grant</t>
  </si>
  <si>
    <t>EXPENSES:</t>
  </si>
  <si>
    <t>REIMBURSEMENTS:</t>
  </si>
  <si>
    <t>Johnson County</t>
  </si>
  <si>
    <t>Consultant Inspection</t>
  </si>
  <si>
    <t>Other Cities Funding</t>
  </si>
  <si>
    <t>6719</t>
  </si>
  <si>
    <t>1cdbg</t>
  </si>
  <si>
    <t>Federal Funding</t>
  </si>
  <si>
    <t>[1octy,10cty]</t>
  </si>
  <si>
    <t>Private Funds/Escrows</t>
  </si>
  <si>
    <t>Other Intergovernmental Funding</t>
  </si>
  <si>
    <t>[1WWD,1KCATA,1KDWP,1KST]</t>
  </si>
  <si>
    <t>[1fed,1istea,1tea21,1ofed,1arra,1corp,1epa,10fed,ISTEA]</t>
  </si>
  <si>
    <t>Cash Flow In/(Out)</t>
  </si>
  <si>
    <t>PER</t>
  </si>
  <si>
    <t>Month</t>
  </si>
  <si>
    <t>Start Date</t>
  </si>
  <si>
    <t>Completion Date</t>
  </si>
  <si>
    <t>Current Date</t>
  </si>
  <si>
    <t>Total LTD</t>
  </si>
  <si>
    <t>DATES:</t>
  </si>
  <si>
    <t>Variance -</t>
  </si>
  <si>
    <t xml:space="preserve"> Projected to LTD Actual</t>
  </si>
  <si>
    <t>Project Actuals in E1</t>
  </si>
  <si>
    <t>Instructions:</t>
  </si>
  <si>
    <t>-Data is to be entered by Engineer in Orange and Green Cells</t>
  </si>
  <si>
    <t>-Other cells are formulas and should be lock to prevent accidently overwriting.</t>
  </si>
  <si>
    <t>-Actuals can be found on "actuals" tab (at bottom of page)</t>
  </si>
  <si>
    <t>[7790,9780,9880,9882]</t>
  </si>
  <si>
    <t>1CDBG</t>
  </si>
  <si>
    <t>1CTY</t>
  </si>
  <si>
    <t>1KDOT</t>
  </si>
  <si>
    <t>[1FED,1ISTEA,1TEA21,1OFED,1ARRA,1CORP,1EPA,10FED,ISTEA]</t>
  </si>
  <si>
    <t>[1OCTY,10CTY]</t>
  </si>
  <si>
    <t>TH-1027</t>
  </si>
  <si>
    <t>Tony Rome</t>
  </si>
  <si>
    <t>Metcalf: 159th to 167th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</si>
</sst>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&quot;$&quot;#,##0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rgb="FF6600FF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u/>
      <sz val="10"/>
      <name val="Arial"/>
      <family val="2"/>
    </font>
    <font>
      <b/>
      <sz val="10"/>
      <color theme="6" tint="-0.249977111117893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ECC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4">
    <xf numFmtId="0" fontId="0" fillId="0" borderId="0" xfId="0"/>
    <xf numFmtId="0" fontId="2" fillId="0" borderId="0" xfId="1" applyFont="1" applyFill="1"/>
    <xf numFmtId="0" fontId="0" fillId="0" borderId="0" xfId="0" applyFill="1"/>
    <xf numFmtId="0" fontId="2" fillId="0" borderId="0" xfId="0" applyFont="1"/>
    <xf numFmtId="0" fontId="2" fillId="0" borderId="1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2" xfId="1" applyFont="1" applyFill="1" applyBorder="1"/>
    <xf numFmtId="0" fontId="4" fillId="0" borderId="0" xfId="0" applyFont="1"/>
    <xf numFmtId="0" fontId="6" fillId="2" borderId="0" xfId="1" applyFont="1" applyFill="1"/>
    <xf numFmtId="0" fontId="6" fillId="0" borderId="0" xfId="0" applyFont="1"/>
    <xf numFmtId="0" fontId="7" fillId="0" borderId="0" xfId="0" applyFont="1"/>
    <xf numFmtId="0" fontId="0" fillId="0" borderId="0" xfId="0" applyBorder="1"/>
    <xf numFmtId="49" fontId="8" fillId="0" borderId="0" xfId="0" applyNumberFormat="1" applyFont="1" applyProtection="1"/>
    <xf numFmtId="49" fontId="8" fillId="0" borderId="0" xfId="0" applyNumberFormat="1" applyFont="1" applyFill="1" applyBorder="1" applyProtection="1"/>
    <xf numFmtId="0" fontId="8" fillId="0" borderId="0" xfId="0" applyFont="1" applyProtection="1"/>
    <xf numFmtId="49" fontId="8" fillId="4" borderId="6" xfId="0" applyNumberFormat="1" applyFont="1" applyFill="1" applyBorder="1" applyAlignment="1" applyProtection="1">
      <alignment horizontal="right"/>
    </xf>
    <xf numFmtId="49" fontId="8" fillId="0" borderId="7" xfId="0" applyNumberFormat="1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center"/>
    </xf>
    <xf numFmtId="1" fontId="9" fillId="0" borderId="0" xfId="0" applyNumberFormat="1" applyFont="1" applyAlignment="1" applyProtection="1">
      <alignment horizontal="right"/>
    </xf>
    <xf numFmtId="1" fontId="8" fillId="0" borderId="0" xfId="0" applyNumberFormat="1" applyFont="1" applyAlignment="1" applyProtection="1">
      <alignment horizontal="right"/>
    </xf>
    <xf numFmtId="49" fontId="8" fillId="4" borderId="8" xfId="0" applyNumberFormat="1" applyFont="1" applyFill="1" applyBorder="1" applyAlignment="1" applyProtection="1">
      <alignment horizontal="right"/>
    </xf>
    <xf numFmtId="49" fontId="8" fillId="0" borderId="9" xfId="0" applyNumberFormat="1" applyFont="1" applyBorder="1" applyAlignment="1" applyProtection="1">
      <alignment horizontal="center"/>
    </xf>
    <xf numFmtId="49" fontId="8" fillId="0" borderId="0" xfId="0" applyNumberFormat="1" applyFont="1" applyBorder="1" applyProtection="1"/>
    <xf numFmtId="49" fontId="8" fillId="4" borderId="10" xfId="0" applyNumberFormat="1" applyFont="1" applyFill="1" applyBorder="1" applyAlignment="1" applyProtection="1">
      <alignment horizontal="right"/>
    </xf>
    <xf numFmtId="49" fontId="8" fillId="0" borderId="11" xfId="0" applyNumberFormat="1" applyFont="1" applyBorder="1" applyAlignment="1" applyProtection="1">
      <alignment horizontal="center"/>
    </xf>
    <xf numFmtId="0" fontId="10" fillId="0" borderId="0" xfId="0" applyFont="1"/>
    <xf numFmtId="0" fontId="1" fillId="0" borderId="0" xfId="0" applyFont="1"/>
    <xf numFmtId="0" fontId="2" fillId="0" borderId="0" xfId="1" applyFont="1" applyFill="1" applyAlignment="1">
      <alignment horizontal="right"/>
    </xf>
    <xf numFmtId="1" fontId="8" fillId="0" borderId="9" xfId="0" applyNumberFormat="1" applyFont="1" applyBorder="1" applyAlignment="1" applyProtection="1">
      <alignment horizontal="center"/>
    </xf>
    <xf numFmtId="43" fontId="1" fillId="0" borderId="4" xfId="1" applyNumberFormat="1" applyFont="1" applyFill="1" applyBorder="1" applyAlignment="1">
      <alignment horizontal="right"/>
    </xf>
    <xf numFmtId="41" fontId="1" fillId="0" borderId="4" xfId="1" applyNumberFormat="1" applyFont="1" applyFill="1" applyBorder="1" applyAlignment="1">
      <alignment horizontal="right"/>
    </xf>
    <xf numFmtId="41" fontId="0" fillId="0" borderId="0" xfId="0" applyNumberFormat="1"/>
    <xf numFmtId="41" fontId="0" fillId="0" borderId="0" xfId="0" applyNumberFormat="1" applyFill="1"/>
    <xf numFmtId="41" fontId="1" fillId="0" borderId="5" xfId="1" applyNumberFormat="1" applyFont="1" applyFill="1" applyBorder="1" applyAlignment="1">
      <alignment horizontal="right"/>
    </xf>
    <xf numFmtId="42" fontId="1" fillId="0" borderId="4" xfId="1" applyNumberFormat="1" applyFont="1" applyFill="1" applyBorder="1" applyAlignment="1">
      <alignment horizontal="right"/>
    </xf>
    <xf numFmtId="42" fontId="0" fillId="0" borderId="0" xfId="0" applyNumberFormat="1"/>
    <xf numFmtId="42" fontId="4" fillId="2" borderId="4" xfId="1" applyNumberFormat="1" applyFont="1" applyFill="1" applyBorder="1" applyAlignment="1">
      <alignment horizontal="right"/>
    </xf>
    <xf numFmtId="42" fontId="4" fillId="0" borderId="0" xfId="0" applyNumberFormat="1" applyFont="1"/>
    <xf numFmtId="42" fontId="2" fillId="0" borderId="0" xfId="0" applyNumberFormat="1" applyFont="1"/>
    <xf numFmtId="42" fontId="6" fillId="2" borderId="4" xfId="1" applyNumberFormat="1" applyFont="1" applyFill="1" applyBorder="1" applyAlignment="1">
      <alignment horizontal="right"/>
    </xf>
    <xf numFmtId="42" fontId="6" fillId="0" borderId="0" xfId="0" applyNumberFormat="1" applyFont="1"/>
    <xf numFmtId="42" fontId="4" fillId="2" borderId="4" xfId="0" applyNumberFormat="1" applyFont="1" applyFill="1" applyBorder="1"/>
    <xf numFmtId="42" fontId="2" fillId="2" borderId="4" xfId="1" applyNumberFormat="1" applyFont="1" applyFill="1" applyBorder="1" applyAlignment="1">
      <alignment horizontal="right"/>
    </xf>
    <xf numFmtId="42" fontId="7" fillId="0" borderId="0" xfId="0" applyNumberFormat="1" applyFont="1"/>
    <xf numFmtId="42" fontId="1" fillId="0" borderId="0" xfId="1" applyNumberFormat="1" applyFont="1" applyFill="1" applyBorder="1"/>
    <xf numFmtId="42" fontId="1" fillId="0" borderId="3" xfId="1" applyNumberFormat="1" applyFont="1" applyFill="1" applyBorder="1"/>
    <xf numFmtId="0" fontId="13" fillId="0" borderId="0" xfId="0" applyFont="1" applyAlignment="1">
      <alignment horizontal="center" vertical="top" wrapText="1"/>
    </xf>
    <xf numFmtId="0" fontId="2" fillId="2" borderId="0" xfId="1" applyFont="1" applyFill="1"/>
    <xf numFmtId="1" fontId="8" fillId="0" borderId="9" xfId="0" quotePrefix="1" applyNumberFormat="1" applyFont="1" applyBorder="1" applyAlignment="1" applyProtection="1">
      <alignment horizontal="center"/>
    </xf>
    <xf numFmtId="0" fontId="0" fillId="0" borderId="0" xfId="0" applyFill="1" applyBorder="1"/>
    <xf numFmtId="49" fontId="8" fillId="0" borderId="14" xfId="0" applyNumberFormat="1" applyFont="1" applyBorder="1" applyAlignment="1" applyProtection="1">
      <alignment horizontal="center"/>
    </xf>
    <xf numFmtId="1" fontId="8" fillId="0" borderId="4" xfId="0" quotePrefix="1" applyNumberFormat="1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"/>
    </xf>
    <xf numFmtId="49" fontId="8" fillId="0" borderId="5" xfId="0" applyNumberFormat="1" applyFont="1" applyBorder="1" applyAlignment="1" applyProtection="1">
      <alignment horizontal="center"/>
    </xf>
    <xf numFmtId="43" fontId="2" fillId="0" borderId="4" xfId="1" applyNumberFormat="1" applyFont="1" applyFill="1" applyBorder="1" applyAlignment="1">
      <alignment horizontal="center"/>
    </xf>
    <xf numFmtId="43" fontId="2" fillId="7" borderId="0" xfId="1" applyNumberFormat="1" applyFont="1" applyFill="1" applyBorder="1" applyAlignment="1">
      <alignment horizontal="center"/>
    </xf>
    <xf numFmtId="41" fontId="1" fillId="7" borderId="2" xfId="1" applyNumberFormat="1" applyFont="1" applyFill="1" applyBorder="1"/>
    <xf numFmtId="42" fontId="4" fillId="7" borderId="0" xfId="0" applyNumberFormat="1" applyFont="1" applyFill="1" applyBorder="1"/>
    <xf numFmtId="42" fontId="2" fillId="7" borderId="0" xfId="1" applyNumberFormat="1" applyFont="1" applyFill="1" applyBorder="1"/>
    <xf numFmtId="42" fontId="6" fillId="7" borderId="0" xfId="1" applyNumberFormat="1" applyFont="1" applyFill="1" applyBorder="1"/>
    <xf numFmtId="42" fontId="1" fillId="7" borderId="0" xfId="1" applyNumberFormat="1" applyFont="1" applyFill="1" applyBorder="1"/>
    <xf numFmtId="41" fontId="1" fillId="0" borderId="4" xfId="0" applyNumberFormat="1" applyFont="1" applyFill="1" applyBorder="1"/>
    <xf numFmtId="41" fontId="1" fillId="0" borderId="4" xfId="1" applyNumberFormat="1" applyFont="1" applyFill="1" applyBorder="1"/>
    <xf numFmtId="41" fontId="1" fillId="0" borderId="5" xfId="1" applyNumberFormat="1" applyFont="1" applyFill="1" applyBorder="1"/>
    <xf numFmtId="41" fontId="2" fillId="0" borderId="4" xfId="1" applyNumberFormat="1" applyFont="1" applyFill="1" applyBorder="1"/>
    <xf numFmtId="42" fontId="1" fillId="0" borderId="4" xfId="0" applyNumberFormat="1" applyFont="1" applyFill="1" applyBorder="1"/>
    <xf numFmtId="42" fontId="4" fillId="2" borderId="4" xfId="1" applyNumberFormat="1" applyFont="1" applyFill="1" applyBorder="1"/>
    <xf numFmtId="42" fontId="2" fillId="2" borderId="4" xfId="1" applyNumberFormat="1" applyFont="1" applyFill="1" applyBorder="1"/>
    <xf numFmtId="42" fontId="6" fillId="2" borderId="4" xfId="1" applyNumberFormat="1" applyFont="1" applyFill="1" applyBorder="1"/>
    <xf numFmtId="42" fontId="1" fillId="0" borderId="4" xfId="1" applyNumberFormat="1" applyFont="1" applyFill="1" applyBorder="1"/>
    <xf numFmtId="42" fontId="2" fillId="0" borderId="0" xfId="1" applyNumberFormat="1" applyFont="1" applyFill="1" applyAlignment="1">
      <alignment horizontal="right"/>
    </xf>
    <xf numFmtId="42" fontId="2" fillId="0" borderId="9" xfId="1" applyNumberFormat="1" applyFont="1" applyFill="1" applyBorder="1"/>
    <xf numFmtId="42" fontId="2" fillId="0" borderId="4" xfId="1" applyNumberFormat="1" applyFont="1" applyFill="1" applyBorder="1"/>
    <xf numFmtId="42" fontId="2" fillId="0" borderId="7" xfId="1" applyNumberFormat="1" applyFont="1" applyFill="1" applyBorder="1"/>
    <xf numFmtId="42" fontId="2" fillId="0" borderId="14" xfId="1" applyNumberFormat="1" applyFont="1" applyFill="1" applyBorder="1"/>
    <xf numFmtId="42" fontId="0" fillId="0" borderId="0" xfId="0" applyNumberFormat="1" applyFill="1"/>
    <xf numFmtId="42" fontId="1" fillId="0" borderId="13" xfId="1" applyNumberFormat="1" applyFont="1" applyFill="1" applyBorder="1"/>
    <xf numFmtId="42" fontId="1" fillId="0" borderId="15" xfId="1" applyNumberFormat="1" applyFont="1" applyFill="1" applyBorder="1"/>
    <xf numFmtId="17" fontId="2" fillId="0" borderId="5" xfId="1" applyNumberFormat="1" applyFont="1" applyFill="1" applyBorder="1" applyAlignment="1">
      <alignment horizontal="center"/>
    </xf>
    <xf numFmtId="17" fontId="2" fillId="7" borderId="2" xfId="1" applyNumberFormat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9" fontId="2" fillId="0" borderId="23" xfId="1" applyNumberFormat="1" applyFont="1" applyFill="1" applyBorder="1" applyAlignment="1">
      <alignment horizontal="center"/>
    </xf>
    <xf numFmtId="49" fontId="2" fillId="0" borderId="24" xfId="1" applyNumberFormat="1" applyFont="1" applyFill="1" applyBorder="1" applyAlignment="1">
      <alignment horizontal="center"/>
    </xf>
    <xf numFmtId="0" fontId="0" fillId="7" borderId="25" xfId="0" applyFill="1" applyBorder="1"/>
    <xf numFmtId="0" fontId="0" fillId="0" borderId="26" xfId="0" applyBorder="1"/>
    <xf numFmtId="17" fontId="2" fillId="0" borderId="27" xfId="1" applyNumberFormat="1" applyFont="1" applyFill="1" applyBorder="1" applyAlignment="1">
      <alignment horizontal="center"/>
    </xf>
    <xf numFmtId="17" fontId="2" fillId="0" borderId="28" xfId="1" applyNumberFormat="1" applyFont="1" applyFill="1" applyBorder="1" applyAlignment="1">
      <alignment horizontal="center"/>
    </xf>
    <xf numFmtId="43" fontId="2" fillId="0" borderId="29" xfId="1" applyNumberFormat="1" applyFont="1" applyFill="1" applyBorder="1" applyAlignment="1">
      <alignment horizontal="center"/>
    </xf>
    <xf numFmtId="43" fontId="2" fillId="0" borderId="30" xfId="1" applyNumberFormat="1" applyFont="1" applyFill="1" applyBorder="1" applyAlignment="1">
      <alignment horizontal="center"/>
    </xf>
    <xf numFmtId="42" fontId="1" fillId="0" borderId="29" xfId="0" applyNumberFormat="1" applyFont="1" applyFill="1" applyBorder="1"/>
    <xf numFmtId="42" fontId="1" fillId="0" borderId="30" xfId="0" applyNumberFormat="1" applyFont="1" applyFill="1" applyBorder="1"/>
    <xf numFmtId="41" fontId="1" fillId="0" borderId="29" xfId="1" applyNumberFormat="1" applyFont="1" applyFill="1" applyBorder="1"/>
    <xf numFmtId="41" fontId="1" fillId="7" borderId="0" xfId="1" applyNumberFormat="1" applyFont="1" applyFill="1" applyBorder="1"/>
    <xf numFmtId="41" fontId="1" fillId="0" borderId="30" xfId="1" applyNumberFormat="1" applyFont="1" applyFill="1" applyBorder="1"/>
    <xf numFmtId="41" fontId="1" fillId="0" borderId="29" xfId="0" applyNumberFormat="1" applyFont="1" applyFill="1" applyBorder="1"/>
    <xf numFmtId="41" fontId="1" fillId="0" borderId="30" xfId="0" applyNumberFormat="1" applyFont="1" applyFill="1" applyBorder="1"/>
    <xf numFmtId="41" fontId="0" fillId="7" borderId="0" xfId="0" applyNumberFormat="1" applyFill="1" applyBorder="1"/>
    <xf numFmtId="41" fontId="1" fillId="0" borderId="27" xfId="1" applyNumberFormat="1" applyFont="1" applyFill="1" applyBorder="1"/>
    <xf numFmtId="41" fontId="1" fillId="0" borderId="28" xfId="1" applyNumberFormat="1" applyFont="1" applyFill="1" applyBorder="1"/>
    <xf numFmtId="42" fontId="4" fillId="2" borderId="29" xfId="1" applyNumberFormat="1" applyFont="1" applyFill="1" applyBorder="1"/>
    <xf numFmtId="42" fontId="4" fillId="7" borderId="0" xfId="1" applyNumberFormat="1" applyFont="1" applyFill="1" applyBorder="1"/>
    <xf numFmtId="42" fontId="4" fillId="2" borderId="30" xfId="1" applyNumberFormat="1" applyFont="1" applyFill="1" applyBorder="1"/>
    <xf numFmtId="42" fontId="2" fillId="2" borderId="29" xfId="1" applyNumberFormat="1" applyFont="1" applyFill="1" applyBorder="1"/>
    <xf numFmtId="42" fontId="11" fillId="7" borderId="0" xfId="1" applyNumberFormat="1" applyFont="1" applyFill="1" applyBorder="1"/>
    <xf numFmtId="42" fontId="2" fillId="2" borderId="30" xfId="1" applyNumberFormat="1" applyFont="1" applyFill="1" applyBorder="1"/>
    <xf numFmtId="42" fontId="6" fillId="2" borderId="29" xfId="1" applyNumberFormat="1" applyFont="1" applyFill="1" applyBorder="1"/>
    <xf numFmtId="42" fontId="6" fillId="2" borderId="30" xfId="1" applyNumberFormat="1" applyFont="1" applyFill="1" applyBorder="1"/>
    <xf numFmtId="41" fontId="2" fillId="0" borderId="29" xfId="1" applyNumberFormat="1" applyFont="1" applyFill="1" applyBorder="1"/>
    <xf numFmtId="41" fontId="2" fillId="0" borderId="30" xfId="1" applyNumberFormat="1" applyFont="1" applyFill="1" applyBorder="1"/>
    <xf numFmtId="42" fontId="1" fillId="0" borderId="29" xfId="1" applyNumberFormat="1" applyFont="1" applyFill="1" applyBorder="1"/>
    <xf numFmtId="42" fontId="1" fillId="0" borderId="30" xfId="1" applyNumberFormat="1" applyFont="1" applyFill="1" applyBorder="1"/>
    <xf numFmtId="42" fontId="4" fillId="2" borderId="29" xfId="0" applyNumberFormat="1" applyFont="1" applyFill="1" applyBorder="1"/>
    <xf numFmtId="42" fontId="4" fillId="2" borderId="30" xfId="0" applyNumberFormat="1" applyFont="1" applyFill="1" applyBorder="1"/>
    <xf numFmtId="42" fontId="6" fillId="2" borderId="31" xfId="1" applyNumberFormat="1" applyFont="1" applyFill="1" applyBorder="1"/>
    <xf numFmtId="42" fontId="6" fillId="2" borderId="32" xfId="1" applyNumberFormat="1" applyFont="1" applyFill="1" applyBorder="1"/>
    <xf numFmtId="42" fontId="6" fillId="7" borderId="33" xfId="1" applyNumberFormat="1" applyFont="1" applyFill="1" applyBorder="1"/>
    <xf numFmtId="42" fontId="6" fillId="2" borderId="34" xfId="1" applyNumberFormat="1" applyFont="1" applyFill="1" applyBorder="1"/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Protection="1"/>
    <xf numFmtId="0" fontId="0" fillId="0" borderId="0" xfId="0" applyBorder="1" applyProtection="1"/>
    <xf numFmtId="0" fontId="12" fillId="0" borderId="0" xfId="1" applyFont="1" applyFill="1" applyProtection="1"/>
    <xf numFmtId="0" fontId="2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4" fontId="1" fillId="0" borderId="0" xfId="0" applyNumberFormat="1" applyFont="1" applyFill="1" applyAlignment="1" applyProtection="1">
      <alignment horizontal="center"/>
    </xf>
    <xf numFmtId="0" fontId="2" fillId="0" borderId="0" xfId="1" applyFont="1" applyFill="1" applyProtection="1"/>
    <xf numFmtId="0" fontId="2" fillId="0" borderId="0" xfId="0" applyFont="1" applyFill="1" applyAlignment="1" applyProtection="1">
      <alignment horizontal="right"/>
    </xf>
    <xf numFmtId="0" fontId="2" fillId="0" borderId="0" xfId="0" applyFont="1" applyAlignment="1" applyProtection="1">
      <alignment horizontal="right"/>
    </xf>
    <xf numFmtId="5" fontId="0" fillId="0" borderId="0" xfId="0" applyNumberFormat="1" applyFill="1" applyProtection="1"/>
    <xf numFmtId="166" fontId="2" fillId="0" borderId="0" xfId="0" applyNumberFormat="1" applyFont="1" applyFill="1" applyAlignment="1" applyProtection="1">
      <alignment horizontal="left"/>
    </xf>
    <xf numFmtId="0" fontId="12" fillId="0" borderId="0" xfId="1" applyFont="1" applyFill="1" applyAlignment="1" applyProtection="1">
      <alignment horizontal="right"/>
    </xf>
    <xf numFmtId="166" fontId="2" fillId="0" borderId="0" xfId="0" applyNumberFormat="1" applyFont="1" applyFill="1" applyAlignment="1" applyProtection="1">
      <alignment horizontal="center"/>
    </xf>
    <xf numFmtId="0" fontId="2" fillId="0" borderId="0" xfId="1" applyFont="1" applyFill="1" applyAlignment="1" applyProtection="1">
      <alignment horizontal="right"/>
    </xf>
    <xf numFmtId="165" fontId="0" fillId="0" borderId="0" xfId="0" applyNumberFormat="1" applyFill="1" applyAlignment="1" applyProtection="1"/>
    <xf numFmtId="0" fontId="2" fillId="0" borderId="1" xfId="1" applyFont="1" applyFill="1" applyBorder="1" applyAlignment="1" applyProtection="1">
      <alignment horizontal="center"/>
    </xf>
    <xf numFmtId="17" fontId="2" fillId="0" borderId="1" xfId="1" applyNumberFormat="1" applyFont="1" applyFill="1" applyBorder="1" applyAlignment="1" applyProtection="1">
      <alignment horizontal="center"/>
    </xf>
    <xf numFmtId="17" fontId="2" fillId="0" borderId="1" xfId="1" applyNumberFormat="1" applyFont="1" applyFill="1" applyBorder="1" applyAlignment="1" applyProtection="1">
      <alignment horizontal="center" wrapText="1"/>
    </xf>
    <xf numFmtId="0" fontId="2" fillId="0" borderId="12" xfId="1" applyFont="1" applyFill="1" applyBorder="1" applyAlignment="1" applyProtection="1">
      <alignment horizontal="center" wrapText="1"/>
    </xf>
    <xf numFmtId="0" fontId="10" fillId="0" borderId="0" xfId="0" applyFont="1" applyProtection="1"/>
    <xf numFmtId="0" fontId="2" fillId="0" borderId="0" xfId="1" applyFont="1" applyFill="1" applyAlignment="1" applyProtection="1">
      <alignment horizontal="left"/>
    </xf>
    <xf numFmtId="43" fontId="2" fillId="0" borderId="0" xfId="1" applyNumberFormat="1" applyFont="1" applyFill="1" applyBorder="1" applyAlignment="1" applyProtection="1">
      <alignment horizontal="center"/>
    </xf>
    <xf numFmtId="43" fontId="1" fillId="0" borderId="4" xfId="1" applyNumberFormat="1" applyFont="1" applyFill="1" applyBorder="1" applyAlignment="1" applyProtection="1">
      <alignment horizontal="right"/>
    </xf>
    <xf numFmtId="42" fontId="1" fillId="0" borderId="4" xfId="1" applyNumberFormat="1" applyFont="1" applyFill="1" applyBorder="1" applyAlignment="1" applyProtection="1">
      <alignment horizontal="right"/>
    </xf>
    <xf numFmtId="42" fontId="0" fillId="0" borderId="0" xfId="0" applyNumberFormat="1" applyProtection="1"/>
    <xf numFmtId="41" fontId="1" fillId="0" borderId="4" xfId="1" applyNumberFormat="1" applyFont="1" applyFill="1" applyBorder="1" applyAlignment="1" applyProtection="1">
      <alignment horizontal="right"/>
    </xf>
    <xf numFmtId="41" fontId="0" fillId="0" borderId="0" xfId="0" applyNumberFormat="1" applyProtection="1"/>
    <xf numFmtId="41" fontId="0" fillId="0" borderId="0" xfId="0" applyNumberFormat="1" applyFill="1" applyProtection="1"/>
    <xf numFmtId="0" fontId="2" fillId="0" borderId="2" xfId="1" applyFont="1" applyFill="1" applyBorder="1" applyProtection="1"/>
    <xf numFmtId="41" fontId="1" fillId="0" borderId="5" xfId="1" applyNumberFormat="1" applyFont="1" applyFill="1" applyBorder="1" applyAlignment="1" applyProtection="1">
      <alignment horizontal="right"/>
    </xf>
    <xf numFmtId="0" fontId="4" fillId="0" borderId="0" xfId="0" applyFont="1" applyProtection="1"/>
    <xf numFmtId="0" fontId="4" fillId="2" borderId="0" xfId="1" applyFont="1" applyFill="1" applyProtection="1"/>
    <xf numFmtId="42" fontId="4" fillId="2" borderId="0" xfId="1" applyNumberFormat="1" applyFont="1" applyFill="1" applyProtection="1"/>
    <xf numFmtId="42" fontId="4" fillId="2" borderId="4" xfId="1" applyNumberFormat="1" applyFont="1" applyFill="1" applyBorder="1" applyAlignment="1" applyProtection="1">
      <alignment horizontal="right"/>
    </xf>
    <xf numFmtId="42" fontId="4" fillId="0" borderId="0" xfId="0" applyNumberFormat="1" applyFont="1" applyProtection="1"/>
    <xf numFmtId="0" fontId="1" fillId="0" borderId="0" xfId="0" applyFont="1" applyProtection="1"/>
    <xf numFmtId="0" fontId="2" fillId="0" borderId="0" xfId="0" applyFont="1" applyProtection="1"/>
    <xf numFmtId="0" fontId="2" fillId="2" borderId="0" xfId="1" applyFont="1" applyFill="1" applyProtection="1"/>
    <xf numFmtId="42" fontId="11" fillId="2" borderId="0" xfId="1" applyNumberFormat="1" applyFont="1" applyFill="1" applyProtection="1"/>
    <xf numFmtId="42" fontId="11" fillId="2" borderId="4" xfId="1" applyNumberFormat="1" applyFont="1" applyFill="1" applyBorder="1" applyAlignment="1" applyProtection="1">
      <alignment horizontal="right"/>
    </xf>
    <xf numFmtId="42" fontId="2" fillId="0" borderId="0" xfId="0" applyNumberFormat="1" applyFont="1" applyProtection="1"/>
    <xf numFmtId="0" fontId="6" fillId="0" borderId="0" xfId="0" applyFont="1" applyProtection="1"/>
    <xf numFmtId="0" fontId="6" fillId="2" borderId="0" xfId="1" applyFont="1" applyFill="1" applyProtection="1"/>
    <xf numFmtId="42" fontId="6" fillId="2" borderId="0" xfId="1" applyNumberFormat="1" applyFont="1" applyFill="1" applyProtection="1"/>
    <xf numFmtId="42" fontId="6" fillId="2" borderId="4" xfId="1" applyNumberFormat="1" applyFont="1" applyFill="1" applyBorder="1" applyAlignment="1" applyProtection="1">
      <alignment horizontal="right"/>
    </xf>
    <xf numFmtId="42" fontId="6" fillId="0" borderId="0" xfId="0" applyNumberFormat="1" applyFont="1" applyProtection="1"/>
    <xf numFmtId="41" fontId="1" fillId="0" borderId="0" xfId="1" applyNumberFormat="1" applyFont="1" applyFill="1" applyProtection="1"/>
    <xf numFmtId="0" fontId="4" fillId="2" borderId="0" xfId="0" applyFont="1" applyFill="1" applyBorder="1" applyProtection="1"/>
    <xf numFmtId="42" fontId="4" fillId="2" borderId="0" xfId="0" applyNumberFormat="1" applyFont="1" applyFill="1" applyBorder="1" applyProtection="1"/>
    <xf numFmtId="42" fontId="4" fillId="2" borderId="4" xfId="0" applyNumberFormat="1" applyFont="1" applyFill="1" applyBorder="1" applyProtection="1"/>
    <xf numFmtId="42" fontId="2" fillId="2" borderId="0" xfId="1" applyNumberFormat="1" applyFont="1" applyFill="1" applyBorder="1" applyProtection="1"/>
    <xf numFmtId="42" fontId="5" fillId="2" borderId="0" xfId="1" applyNumberFormat="1" applyFont="1" applyFill="1" applyBorder="1" applyProtection="1"/>
    <xf numFmtId="42" fontId="2" fillId="2" borderId="4" xfId="1" applyNumberFormat="1" applyFont="1" applyFill="1" applyBorder="1" applyAlignment="1" applyProtection="1">
      <alignment horizontal="right"/>
    </xf>
    <xf numFmtId="42" fontId="6" fillId="2" borderId="0" xfId="1" applyNumberFormat="1" applyFont="1" applyFill="1" applyBorder="1" applyProtection="1"/>
    <xf numFmtId="42" fontId="7" fillId="0" borderId="0" xfId="0" applyNumberFormat="1" applyFont="1" applyProtection="1"/>
    <xf numFmtId="0" fontId="7" fillId="0" borderId="0" xfId="0" applyFont="1" applyProtection="1"/>
    <xf numFmtId="42" fontId="1" fillId="0" borderId="0" xfId="1" applyNumberFormat="1" applyFont="1" applyFill="1" applyBorder="1" applyProtection="1"/>
    <xf numFmtId="42" fontId="1" fillId="0" borderId="3" xfId="1" applyNumberFormat="1" applyFont="1" applyFill="1" applyBorder="1" applyProtection="1"/>
    <xf numFmtId="42" fontId="1" fillId="6" borderId="13" xfId="1" applyNumberFormat="1" applyFont="1" applyFill="1" applyBorder="1" applyProtection="1"/>
    <xf numFmtId="0" fontId="13" fillId="0" borderId="0" xfId="0" applyFont="1" applyAlignment="1" applyProtection="1">
      <alignment horizontal="center" vertical="top" wrapText="1"/>
    </xf>
    <xf numFmtId="1" fontId="1" fillId="3" borderId="16" xfId="0" applyNumberFormat="1" applyFont="1" applyFill="1" applyBorder="1" applyAlignment="1" applyProtection="1">
      <alignment horizontal="center"/>
      <protection locked="0"/>
    </xf>
    <xf numFmtId="42" fontId="1" fillId="3" borderId="0" xfId="1" applyNumberFormat="1" applyFont="1" applyFill="1" applyProtection="1">
      <protection locked="0"/>
    </xf>
    <xf numFmtId="42" fontId="0" fillId="3" borderId="0" xfId="0" applyNumberFormat="1" applyFill="1" applyProtection="1">
      <protection locked="0"/>
    </xf>
    <xf numFmtId="41" fontId="1" fillId="3" borderId="0" xfId="1" applyNumberFormat="1" applyFont="1" applyFill="1" applyProtection="1">
      <protection locked="0"/>
    </xf>
    <xf numFmtId="41" fontId="0" fillId="3" borderId="0" xfId="0" applyNumberFormat="1" applyFill="1" applyProtection="1">
      <protection locked="0"/>
    </xf>
    <xf numFmtId="41" fontId="1" fillId="3" borderId="2" xfId="1" applyNumberFormat="1" applyFont="1" applyFill="1" applyBorder="1" applyProtection="1">
      <protection locked="0"/>
    </xf>
    <xf numFmtId="0" fontId="2" fillId="0" borderId="35" xfId="0" applyFont="1" applyFill="1" applyBorder="1" applyProtection="1"/>
    <xf numFmtId="0" fontId="0" fillId="0" borderId="25" xfId="0" applyFill="1" applyBorder="1" applyProtection="1"/>
    <xf numFmtId="0" fontId="0" fillId="0" borderId="26" xfId="0" applyFill="1" applyBorder="1" applyProtection="1"/>
    <xf numFmtId="0" fontId="0" fillId="0" borderId="0" xfId="0" applyFill="1" applyBorder="1" applyProtection="1"/>
    <xf numFmtId="0" fontId="0" fillId="5" borderId="35" xfId="0" applyFill="1" applyBorder="1" applyProtection="1"/>
    <xf numFmtId="0" fontId="2" fillId="5" borderId="41" xfId="1" applyFont="1" applyFill="1" applyBorder="1" applyAlignment="1" applyProtection="1">
      <alignment horizontal="center"/>
    </xf>
    <xf numFmtId="5" fontId="2" fillId="5" borderId="36" xfId="1" applyNumberFormat="1" applyFont="1" applyFill="1" applyBorder="1" applyAlignment="1" applyProtection="1">
      <alignment horizontal="center"/>
    </xf>
    <xf numFmtId="42" fontId="0" fillId="5" borderId="36" xfId="0" applyNumberFormat="1" applyFill="1" applyBorder="1" applyProtection="1">
      <protection locked="0"/>
    </xf>
    <xf numFmtId="41" fontId="1" fillId="5" borderId="36" xfId="1" applyNumberFormat="1" applyFont="1" applyFill="1" applyBorder="1" applyProtection="1">
      <protection locked="0"/>
    </xf>
    <xf numFmtId="41" fontId="0" fillId="5" borderId="36" xfId="0" applyNumberFormat="1" applyFill="1" applyBorder="1" applyProtection="1">
      <protection locked="0"/>
    </xf>
    <xf numFmtId="41" fontId="1" fillId="5" borderId="42" xfId="1" applyNumberFormat="1" applyFont="1" applyFill="1" applyBorder="1" applyProtection="1">
      <protection locked="0"/>
    </xf>
    <xf numFmtId="42" fontId="4" fillId="2" borderId="36" xfId="1" applyNumberFormat="1" applyFont="1" applyFill="1" applyBorder="1" applyProtection="1"/>
    <xf numFmtId="42" fontId="11" fillId="2" borderId="36" xfId="1" applyNumberFormat="1" applyFont="1" applyFill="1" applyBorder="1" applyProtection="1"/>
    <xf numFmtId="42" fontId="6" fillId="2" borderId="36" xfId="1" applyNumberFormat="1" applyFont="1" applyFill="1" applyBorder="1" applyProtection="1"/>
    <xf numFmtId="41" fontId="2" fillId="5" borderId="36" xfId="1" applyNumberFormat="1" applyFont="1" applyFill="1" applyBorder="1" applyAlignment="1" applyProtection="1">
      <alignment horizontal="center"/>
    </xf>
    <xf numFmtId="42" fontId="2" fillId="2" borderId="36" xfId="1" applyNumberFormat="1" applyFont="1" applyFill="1" applyBorder="1" applyProtection="1"/>
    <xf numFmtId="42" fontId="6" fillId="2" borderId="38" xfId="1" applyNumberFormat="1" applyFont="1" applyFill="1" applyBorder="1" applyProtection="1"/>
    <xf numFmtId="49" fontId="2" fillId="2" borderId="18" xfId="1" applyNumberFormat="1" applyFont="1" applyFill="1" applyBorder="1" applyAlignment="1" applyProtection="1">
      <alignment horizontal="center"/>
    </xf>
    <xf numFmtId="17" fontId="2" fillId="2" borderId="40" xfId="1" applyNumberFormat="1" applyFont="1" applyFill="1" applyBorder="1" applyAlignment="1" applyProtection="1">
      <alignment horizontal="center"/>
    </xf>
    <xf numFmtId="43" fontId="2" fillId="2" borderId="20" xfId="1" applyNumberFormat="1" applyFont="1" applyFill="1" applyBorder="1" applyAlignment="1" applyProtection="1">
      <alignment horizontal="center"/>
    </xf>
    <xf numFmtId="43" fontId="2" fillId="2" borderId="20" xfId="1" applyNumberFormat="1" applyFont="1" applyFill="1" applyBorder="1" applyProtection="1"/>
    <xf numFmtId="43" fontId="2" fillId="2" borderId="20" xfId="0" applyNumberFormat="1" applyFont="1" applyFill="1" applyBorder="1" applyProtection="1"/>
    <xf numFmtId="43" fontId="2" fillId="2" borderId="19" xfId="1" applyNumberFormat="1" applyFont="1" applyFill="1" applyBorder="1" applyProtection="1"/>
    <xf numFmtId="44" fontId="4" fillId="2" borderId="20" xfId="1" applyNumberFormat="1" applyFont="1" applyFill="1" applyBorder="1" applyProtection="1"/>
    <xf numFmtId="44" fontId="2" fillId="2" borderId="20" xfId="1" applyNumberFormat="1" applyFont="1" applyFill="1" applyBorder="1" applyProtection="1"/>
    <xf numFmtId="44" fontId="6" fillId="2" borderId="20" xfId="1" applyNumberFormat="1" applyFont="1" applyFill="1" applyBorder="1" applyProtection="1"/>
    <xf numFmtId="44" fontId="4" fillId="2" borderId="20" xfId="0" applyNumberFormat="1" applyFont="1" applyFill="1" applyBorder="1" applyProtection="1"/>
    <xf numFmtId="8" fontId="2" fillId="2" borderId="43" xfId="1" applyNumberFormat="1" applyFont="1" applyFill="1" applyBorder="1" applyProtection="1"/>
    <xf numFmtId="0" fontId="16" fillId="8" borderId="18" xfId="0" applyFont="1" applyFill="1" applyBorder="1"/>
    <xf numFmtId="0" fontId="17" fillId="8" borderId="19" xfId="1" applyFont="1" applyFill="1" applyBorder="1" applyAlignment="1">
      <alignment horizontal="center"/>
    </xf>
    <xf numFmtId="5" fontId="17" fillId="8" borderId="20" xfId="1" applyNumberFormat="1" applyFont="1" applyFill="1" applyBorder="1" applyAlignment="1">
      <alignment horizontal="center"/>
    </xf>
    <xf numFmtId="42" fontId="16" fillId="8" borderId="20" xfId="0" applyNumberFormat="1" applyFont="1" applyFill="1" applyBorder="1"/>
    <xf numFmtId="41" fontId="16" fillId="8" borderId="20" xfId="1" applyNumberFormat="1" applyFont="1" applyFill="1" applyBorder="1"/>
    <xf numFmtId="41" fontId="17" fillId="8" borderId="20" xfId="1" applyNumberFormat="1" applyFont="1" applyFill="1" applyBorder="1" applyAlignment="1">
      <alignment horizontal="center"/>
    </xf>
    <xf numFmtId="41" fontId="16" fillId="8" borderId="20" xfId="0" applyNumberFormat="1" applyFont="1" applyFill="1" applyBorder="1"/>
    <xf numFmtId="42" fontId="17" fillId="8" borderId="21" xfId="1" applyNumberFormat="1" applyFont="1" applyFill="1" applyBorder="1"/>
    <xf numFmtId="42" fontId="17" fillId="8" borderId="20" xfId="1" applyNumberFormat="1" applyFont="1" applyFill="1" applyBorder="1"/>
    <xf numFmtId="42" fontId="18" fillId="8" borderId="20" xfId="1" applyNumberFormat="1" applyFont="1" applyFill="1" applyBorder="1"/>
    <xf numFmtId="42" fontId="18" fillId="8" borderId="22" xfId="1" applyNumberFormat="1" applyFont="1" applyFill="1" applyBorder="1"/>
    <xf numFmtId="0" fontId="4" fillId="2" borderId="0" xfId="1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9" fillId="0" borderId="36" xfId="0" quotePrefix="1" applyFont="1" applyFill="1" applyBorder="1" applyProtection="1"/>
    <xf numFmtId="0" fontId="19" fillId="0" borderId="0" xfId="0" applyFont="1" applyFill="1" applyBorder="1" applyProtection="1"/>
    <xf numFmtId="0" fontId="19" fillId="0" borderId="37" xfId="0" applyFont="1" applyFill="1" applyBorder="1" applyProtection="1"/>
    <xf numFmtId="0" fontId="19" fillId="0" borderId="38" xfId="0" applyFont="1" applyFill="1" applyBorder="1" applyProtection="1"/>
    <xf numFmtId="0" fontId="19" fillId="0" borderId="33" xfId="0" applyFont="1" applyFill="1" applyBorder="1" applyProtection="1"/>
    <xf numFmtId="0" fontId="19" fillId="0" borderId="39" xfId="0" applyFont="1" applyFill="1" applyBorder="1" applyProtection="1"/>
    <xf numFmtId="41" fontId="0" fillId="5" borderId="19" xfId="0" applyNumberFormat="1" applyFill="1" applyBorder="1" applyProtection="1">
      <protection locked="0"/>
    </xf>
    <xf numFmtId="42" fontId="1" fillId="3" borderId="0" xfId="1" applyNumberFormat="1" applyFont="1" applyFill="1" applyProtection="1">
      <protection locked="0"/>
    </xf>
    <xf numFmtId="42" fontId="0" fillId="3" borderId="0" xfId="0" applyNumberFormat="1" applyFill="1" applyProtection="1">
      <protection locked="0"/>
    </xf>
    <xf numFmtId="41" fontId="1" fillId="3" borderId="0" xfId="1" applyNumberFormat="1" applyFont="1" applyFill="1" applyProtection="1">
      <protection locked="0"/>
    </xf>
    <xf numFmtId="41" fontId="0" fillId="3" borderId="0" xfId="0" applyNumberFormat="1" applyFill="1" applyProtection="1">
      <protection locked="0"/>
    </xf>
    <xf numFmtId="41" fontId="1" fillId="3" borderId="2" xfId="1" applyNumberFormat="1" applyFont="1" applyFill="1" applyBorder="1" applyProtection="1">
      <protection locked="0"/>
    </xf>
    <xf numFmtId="42" fontId="1" fillId="3" borderId="0" xfId="1" applyNumberFormat="1" applyFont="1" applyFill="1" applyProtection="1">
      <protection locked="0"/>
    </xf>
    <xf numFmtId="42" fontId="0" fillId="3" borderId="0" xfId="0" applyNumberFormat="1" applyFill="1" applyProtection="1">
      <protection locked="0"/>
    </xf>
    <xf numFmtId="41" fontId="1" fillId="3" borderId="0" xfId="1" applyNumberFormat="1" applyFont="1" applyFill="1" applyProtection="1">
      <protection locked="0"/>
    </xf>
    <xf numFmtId="41" fontId="0" fillId="3" borderId="0" xfId="0" applyNumberFormat="1" applyFill="1" applyProtection="1">
      <protection locked="0"/>
    </xf>
    <xf numFmtId="41" fontId="1" fillId="3" borderId="2" xfId="1" applyNumberFormat="1" applyFont="1" applyFill="1" applyBorder="1" applyProtection="1">
      <protection locked="0"/>
    </xf>
    <xf numFmtId="166" fontId="2" fillId="0" borderId="0" xfId="0" applyNumberFormat="1" applyFont="1" applyFill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2" fillId="3" borderId="10" xfId="0" applyFont="1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protection locked="0"/>
    </xf>
    <xf numFmtId="14" fontId="0" fillId="3" borderId="10" xfId="0" applyNumberFormat="1" applyFill="1" applyBorder="1" applyAlignment="1" applyProtection="1">
      <alignment horizontal="left"/>
      <protection locked="0"/>
    </xf>
    <xf numFmtId="14" fontId="0" fillId="3" borderId="11" xfId="0" applyNumberFormat="1" applyFill="1" applyBorder="1" applyAlignment="1" applyProtection="1">
      <alignment horizontal="left"/>
      <protection locked="0"/>
    </xf>
  </cellXfs>
  <cellStyles count="4">
    <cellStyle name="Comma 2" xfId="3"/>
    <cellStyle name="Currency 2" xfId="2"/>
    <cellStyle name="Normal" xfId="0" builtinId="0"/>
    <cellStyle name="normal 2" xfId="1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CCECCD"/>
      <color rgb="FFBAE6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2008%20Budget\CIP\CIPDATABASE%202008-2012%205-16-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umbers for Database"/>
      <sheetName val="Five-Year CIP"/>
      <sheetName val="By Project - All Years"/>
      <sheetName val="CIP Summary for WP"/>
      <sheetName val="2007 Sources"/>
      <sheetName val="2008 Projects"/>
      <sheetName val="2008 Sources"/>
      <sheetName val="Indiv Project"/>
      <sheetName val="by funding source"/>
      <sheetName val="data entry for forecast"/>
      <sheetName val="CIP Summary by YR &amp; Funding"/>
      <sheetName val="template"/>
    </sheetNames>
    <sheetDataSet>
      <sheetData sheetId="0"/>
      <sheetData sheetId="1">
        <row r="4">
          <cell r="A4" t="str">
            <v>Bridge Replacement</v>
          </cell>
          <cell r="B4">
            <v>1</v>
          </cell>
        </row>
        <row r="5">
          <cell r="A5" t="str">
            <v>Public Buildings</v>
          </cell>
          <cell r="B5">
            <v>2</v>
          </cell>
        </row>
        <row r="6">
          <cell r="A6" t="str">
            <v>Public Equipment</v>
          </cell>
          <cell r="B6">
            <v>3</v>
          </cell>
        </row>
        <row r="7">
          <cell r="A7" t="str">
            <v>Fire Service-Public Buildings</v>
          </cell>
          <cell r="B7">
            <v>4</v>
          </cell>
        </row>
        <row r="8">
          <cell r="A8" t="str">
            <v>Fire Service-Public Equipment</v>
          </cell>
          <cell r="B8">
            <v>5</v>
          </cell>
        </row>
        <row r="9">
          <cell r="A9" t="str">
            <v>Parks &amp; Recreation</v>
          </cell>
          <cell r="B9">
            <v>6</v>
          </cell>
        </row>
        <row r="10">
          <cell r="A10" t="str">
            <v>Golf Course</v>
          </cell>
          <cell r="B10">
            <v>7</v>
          </cell>
        </row>
        <row r="11">
          <cell r="A11" t="str">
            <v>Storm Drainage</v>
          </cell>
          <cell r="B11">
            <v>8</v>
          </cell>
        </row>
        <row r="12">
          <cell r="A12" t="str">
            <v>Streetlighting</v>
          </cell>
          <cell r="B12">
            <v>9</v>
          </cell>
        </row>
        <row r="13">
          <cell r="A13" t="str">
            <v>Residential Street Program</v>
          </cell>
          <cell r="B13">
            <v>10</v>
          </cell>
        </row>
        <row r="14">
          <cell r="A14" t="str">
            <v>Sidewalk Construction &amp; Maintenance</v>
          </cell>
          <cell r="B14">
            <v>11</v>
          </cell>
        </row>
        <row r="15">
          <cell r="A15" t="str">
            <v>Street Improvements</v>
          </cell>
          <cell r="B15">
            <v>12</v>
          </cell>
        </row>
        <row r="16">
          <cell r="A16" t="str">
            <v>Thoroughfare Excise Tax</v>
          </cell>
          <cell r="B16">
            <v>13</v>
          </cell>
        </row>
        <row r="17">
          <cell r="A17" t="str">
            <v>Thoroughfare Non-Excise Tax</v>
          </cell>
          <cell r="B17">
            <v>14</v>
          </cell>
        </row>
        <row r="18">
          <cell r="A18" t="str">
            <v>Traffic Signals</v>
          </cell>
          <cell r="B18">
            <v>15</v>
          </cell>
        </row>
        <row r="19">
          <cell r="A19" t="str">
            <v>Contingency-Street Improvements</v>
          </cell>
          <cell r="B19">
            <v>16</v>
          </cell>
        </row>
        <row r="22">
          <cell r="A22" t="str">
            <v>GO Bonds</v>
          </cell>
          <cell r="B22">
            <v>1</v>
          </cell>
        </row>
        <row r="23">
          <cell r="A23" t="str">
            <v>20 yr GO Bonds</v>
          </cell>
          <cell r="B23">
            <v>2</v>
          </cell>
        </row>
        <row r="24">
          <cell r="A24" t="str">
            <v>PAYG</v>
          </cell>
          <cell r="B24">
            <v>3</v>
          </cell>
        </row>
        <row r="25">
          <cell r="A25" t="str">
            <v>Excise Tax</v>
          </cell>
          <cell r="B25">
            <v>4</v>
          </cell>
        </row>
        <row r="26">
          <cell r="A26" t="str">
            <v>1/8th Sales Tax</v>
          </cell>
          <cell r="B26">
            <v>5</v>
          </cell>
        </row>
        <row r="27">
          <cell r="A27" t="str">
            <v>Escrow Funds</v>
          </cell>
          <cell r="B27">
            <v>6</v>
          </cell>
        </row>
        <row r="28">
          <cell r="A28" t="str">
            <v>Special Assessments</v>
          </cell>
          <cell r="B28">
            <v>7</v>
          </cell>
        </row>
        <row r="29">
          <cell r="A29" t="str">
            <v>Storm Water Utility</v>
          </cell>
          <cell r="B29">
            <v>8</v>
          </cell>
        </row>
        <row r="30">
          <cell r="A30" t="str">
            <v>Johnson County Funds</v>
          </cell>
          <cell r="B30">
            <v>9</v>
          </cell>
        </row>
        <row r="31">
          <cell r="A31" t="str">
            <v>Eco Devo Sales Tax</v>
          </cell>
          <cell r="B31">
            <v>10</v>
          </cell>
        </row>
        <row r="32">
          <cell r="A32" t="str">
            <v>Funds from Other Cities</v>
          </cell>
          <cell r="B32">
            <v>11</v>
          </cell>
        </row>
        <row r="33">
          <cell r="A33" t="str">
            <v>KDOT</v>
          </cell>
          <cell r="B33">
            <v>12</v>
          </cell>
        </row>
        <row r="34">
          <cell r="A34" t="str">
            <v>Federal Transportation Funding</v>
          </cell>
          <cell r="B34">
            <v>13</v>
          </cell>
        </row>
        <row r="35">
          <cell r="A35" t="str">
            <v>Community Dev Block Grant</v>
          </cell>
          <cell r="B35">
            <v>14</v>
          </cell>
        </row>
        <row r="36">
          <cell r="A36" t="str">
            <v>Other Federal Financing</v>
          </cell>
          <cell r="B36">
            <v>15</v>
          </cell>
        </row>
        <row r="37">
          <cell r="A37" t="str">
            <v>Equipment Reserve Fund</v>
          </cell>
          <cell r="B37">
            <v>16</v>
          </cell>
        </row>
        <row r="38">
          <cell r="A38" t="str">
            <v>Golf Revenue</v>
          </cell>
          <cell r="B38">
            <v>17</v>
          </cell>
        </row>
        <row r="39">
          <cell r="A39" t="str">
            <v>Special Parks &amp; Rec</v>
          </cell>
          <cell r="B39">
            <v>18</v>
          </cell>
        </row>
        <row r="40">
          <cell r="A40" t="str">
            <v>Private Contributions</v>
          </cell>
          <cell r="B40">
            <v>19</v>
          </cell>
        </row>
        <row r="41">
          <cell r="A41" t="str">
            <v>Other Debt Financing</v>
          </cell>
          <cell r="B41">
            <v>20</v>
          </cell>
        </row>
        <row r="42">
          <cell r="A42" t="str">
            <v>Other Financing Sources</v>
          </cell>
          <cell r="B42">
            <v>21</v>
          </cell>
        </row>
        <row r="57">
          <cell r="A57" t="str">
            <v>BR</v>
          </cell>
          <cell r="B57" t="str">
            <v>Bridge Replacement</v>
          </cell>
        </row>
        <row r="58">
          <cell r="A58" t="str">
            <v>FB</v>
          </cell>
          <cell r="B58" t="str">
            <v>Fire Service-Public Buildings</v>
          </cell>
        </row>
        <row r="59">
          <cell r="A59" t="str">
            <v>FE</v>
          </cell>
          <cell r="B59" t="str">
            <v>Fire Service-Public Equipment</v>
          </cell>
        </row>
        <row r="60">
          <cell r="A60" t="str">
            <v>PB</v>
          </cell>
          <cell r="B60" t="str">
            <v>Public Buildings</v>
          </cell>
        </row>
        <row r="61">
          <cell r="A61" t="str">
            <v>PE</v>
          </cell>
          <cell r="B61" t="str">
            <v>Public Equipment</v>
          </cell>
        </row>
        <row r="62">
          <cell r="A62" t="str">
            <v>PR</v>
          </cell>
          <cell r="B62" t="str">
            <v>Parks &amp; Recreation</v>
          </cell>
        </row>
        <row r="63">
          <cell r="A63" t="str">
            <v>SD</v>
          </cell>
          <cell r="B63" t="str">
            <v>Storm Drainage</v>
          </cell>
        </row>
        <row r="64">
          <cell r="A64" t="str">
            <v>SL</v>
          </cell>
          <cell r="B64" t="str">
            <v>Streetlighting</v>
          </cell>
        </row>
        <row r="65">
          <cell r="A65" t="str">
            <v>SR</v>
          </cell>
          <cell r="B65" t="str">
            <v>Residential Street Program</v>
          </cell>
        </row>
        <row r="66">
          <cell r="A66" t="str">
            <v>ST</v>
          </cell>
          <cell r="B66" t="str">
            <v>Street Improvements</v>
          </cell>
        </row>
        <row r="67">
          <cell r="A67" t="str">
            <v>SW</v>
          </cell>
          <cell r="B67" t="str">
            <v>Sidewalk Construction &amp; Maintenance</v>
          </cell>
        </row>
        <row r="68">
          <cell r="A68" t="str">
            <v>TE</v>
          </cell>
          <cell r="B68" t="str">
            <v>Thoroughfare Excise Tax</v>
          </cell>
        </row>
        <row r="69">
          <cell r="A69" t="str">
            <v>TH</v>
          </cell>
          <cell r="B69" t="str">
            <v>Thoroughfare Non-Excise Tax</v>
          </cell>
        </row>
        <row r="70">
          <cell r="A70" t="str">
            <v>TS</v>
          </cell>
          <cell r="B70" t="str">
            <v>Traffic Signals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55"/>
  <sheetViews>
    <sheetView tabSelected="1" topLeftCell="F10" zoomScale="90" zoomScaleNormal="90" zoomScaleSheetLayoutView="80" workbookViewId="0">
      <selection activeCell="F30" sqref="F30"/>
    </sheetView>
  </sheetViews>
  <sheetFormatPr defaultRowHeight="12.75" outlineLevelRow="1" outlineLevelCol="1" x14ac:dyDescent="0.2"/>
  <cols>
    <col min="1" max="1" width="5.140625" style="120" hidden="1" customWidth="1" outlineLevel="1"/>
    <col min="2" max="2" width="9.140625" style="120" hidden="1" customWidth="1" outlineLevel="1"/>
    <col min="3" max="3" width="36.85546875" style="120" hidden="1" customWidth="1" outlineLevel="1"/>
    <col min="4" max="4" width="61" style="120" hidden="1" customWidth="1" outlineLevel="1"/>
    <col min="5" max="5" width="3.140625" style="120" hidden="1" customWidth="1" outlineLevel="1"/>
    <col min="6" max="6" width="35.28515625" style="120" customWidth="1" collapsed="1"/>
    <col min="7" max="7" width="19.7109375" style="120" customWidth="1"/>
    <col min="8" max="8" width="15.85546875" style="120" customWidth="1"/>
    <col min="9" max="32" width="12.85546875" style="120" customWidth="1"/>
    <col min="33" max="33" width="16.140625" style="120" customWidth="1"/>
    <col min="34" max="34" width="2.140625" style="120" customWidth="1"/>
    <col min="35" max="35" width="18.28515625" style="120" customWidth="1"/>
    <col min="36" max="36" width="2" customWidth="1"/>
    <col min="38" max="16384" width="9.140625" style="120"/>
  </cols>
  <sheetData>
    <row r="1" spans="1:37" s="14" customFormat="1" ht="15" hidden="1" outlineLevel="1" x14ac:dyDescent="0.25">
      <c r="A1" s="12"/>
      <c r="B1" s="13"/>
      <c r="C1" s="13"/>
      <c r="D1" s="12"/>
      <c r="E1" s="12"/>
      <c r="F1" s="12"/>
      <c r="G1" s="12"/>
      <c r="H1" s="12"/>
      <c r="I1" s="12"/>
      <c r="J1" s="12"/>
      <c r="K1" s="12"/>
    </row>
    <row r="2" spans="1:37" s="14" customFormat="1" ht="15" hidden="1" outlineLevel="1" x14ac:dyDescent="0.25">
      <c r="A2" s="12"/>
      <c r="B2" s="13"/>
      <c r="C2" s="13"/>
      <c r="D2" s="12"/>
      <c r="E2" s="12"/>
      <c r="F2" s="12"/>
      <c r="G2" s="12"/>
      <c r="H2" s="22"/>
      <c r="I2" s="22"/>
      <c r="J2" s="12"/>
      <c r="K2" s="12"/>
    </row>
    <row r="3" spans="1:37" s="12" customFormat="1" ht="15" hidden="1" outlineLevel="1" x14ac:dyDescent="0.25">
      <c r="A3" s="13"/>
      <c r="B3" s="13"/>
      <c r="C3" s="13"/>
      <c r="F3" s="15" t="s">
        <v>10</v>
      </c>
      <c r="G3" s="16" t="s">
        <v>11</v>
      </c>
      <c r="H3" s="22"/>
      <c r="I3" s="17"/>
      <c r="K3" s="17"/>
    </row>
    <row r="4" spans="1:37" s="12" customFormat="1" ht="15" hidden="1" outlineLevel="1" x14ac:dyDescent="0.25">
      <c r="D4" s="18"/>
      <c r="E4" s="19"/>
      <c r="F4" s="20" t="s">
        <v>12</v>
      </c>
      <c r="G4" s="28">
        <f>H18</f>
        <v>2019</v>
      </c>
      <c r="H4" s="22"/>
      <c r="I4" s="17"/>
      <c r="K4" s="17"/>
    </row>
    <row r="5" spans="1:37" s="12" customFormat="1" ht="15" hidden="1" outlineLevel="1" x14ac:dyDescent="0.25">
      <c r="F5" s="20" t="s">
        <v>13</v>
      </c>
      <c r="G5" s="21" t="s">
        <v>14</v>
      </c>
      <c r="H5" s="22"/>
      <c r="I5" s="17"/>
      <c r="K5" s="17"/>
    </row>
    <row r="6" spans="1:37" s="12" customFormat="1" ht="15" hidden="1" outlineLevel="1" x14ac:dyDescent="0.25">
      <c r="F6" s="20" t="s">
        <v>15</v>
      </c>
      <c r="G6" s="28">
        <f>G18</f>
        <v>6</v>
      </c>
      <c r="H6" s="22"/>
      <c r="I6" s="17"/>
      <c r="K6" s="17"/>
    </row>
    <row r="7" spans="1:37" s="12" customFormat="1" ht="15" hidden="1" outlineLevel="1" x14ac:dyDescent="0.25">
      <c r="F7" s="23" t="s">
        <v>16</v>
      </c>
      <c r="G7" s="24" t="s">
        <v>17</v>
      </c>
      <c r="H7" s="22"/>
      <c r="I7" s="17"/>
      <c r="K7" s="17"/>
    </row>
    <row r="8" spans="1:37" hidden="1" outlineLevel="1" x14ac:dyDescent="0.2">
      <c r="H8" s="121"/>
      <c r="I8" s="121"/>
      <c r="AJ8" s="120"/>
      <c r="AK8" s="120"/>
    </row>
    <row r="9" spans="1:37" hidden="1" outlineLevel="1" x14ac:dyDescent="0.2">
      <c r="H9" s="121"/>
      <c r="I9" s="121"/>
      <c r="AJ9" s="120"/>
      <c r="AK9" s="120"/>
    </row>
    <row r="10" spans="1:37" ht="14.25" customHeight="1" collapsed="1" x14ac:dyDescent="0.2">
      <c r="F10" s="122" t="s">
        <v>0</v>
      </c>
      <c r="G10" s="123"/>
      <c r="H10" s="124"/>
      <c r="I10" s="124"/>
      <c r="J10" s="124"/>
      <c r="K10" s="124"/>
      <c r="L10" s="125"/>
      <c r="M10" s="126"/>
      <c r="N10" s="126"/>
      <c r="O10" s="124"/>
      <c r="P10" s="124"/>
      <c r="Q10" s="124"/>
      <c r="R10" s="127"/>
      <c r="AJ10" s="120"/>
      <c r="AK10" s="120"/>
    </row>
    <row r="11" spans="1:37" x14ac:dyDescent="0.2">
      <c r="F11" s="128" t="s">
        <v>1</v>
      </c>
      <c r="G11" s="247" t="s">
        <v>93</v>
      </c>
      <c r="H11" s="248"/>
      <c r="I11" s="124"/>
      <c r="J11" s="129" t="s">
        <v>2</v>
      </c>
      <c r="K11" s="249" t="s">
        <v>92</v>
      </c>
      <c r="L11" s="248"/>
      <c r="M11" s="126"/>
      <c r="N11" s="126"/>
      <c r="O11" s="124"/>
      <c r="P11" s="124"/>
      <c r="R11" s="124"/>
      <c r="AJ11" s="120"/>
      <c r="AK11" s="120"/>
    </row>
    <row r="12" spans="1:37" x14ac:dyDescent="0.2">
      <c r="F12" s="128" t="s">
        <v>3</v>
      </c>
      <c r="G12" s="250" t="s">
        <v>91</v>
      </c>
      <c r="H12" s="251"/>
      <c r="I12" s="124"/>
      <c r="J12" s="130" t="s">
        <v>4</v>
      </c>
      <c r="K12" s="252">
        <v>43644</v>
      </c>
      <c r="L12" s="253"/>
      <c r="M12" s="124"/>
      <c r="N12" s="124"/>
      <c r="O12" s="124"/>
      <c r="P12" s="124"/>
      <c r="Q12" s="124"/>
      <c r="R12" s="124"/>
      <c r="AJ12" s="120"/>
      <c r="AK12" s="120"/>
    </row>
    <row r="13" spans="1:37" x14ac:dyDescent="0.2">
      <c r="F13" s="128" t="s">
        <v>5</v>
      </c>
      <c r="G13" s="246">
        <f>G36</f>
        <v>17005000</v>
      </c>
      <c r="H13" s="246"/>
      <c r="I13" s="124"/>
      <c r="J13" s="124"/>
      <c r="K13" s="124"/>
      <c r="L13" s="124"/>
      <c r="M13" s="124"/>
      <c r="N13" s="124"/>
      <c r="O13" s="124"/>
      <c r="P13" s="124"/>
      <c r="Q13" s="124"/>
      <c r="R13" s="131"/>
      <c r="AJ13" s="120"/>
      <c r="AK13" s="120"/>
    </row>
    <row r="14" spans="1:37" ht="13.5" thickBot="1" x14ac:dyDescent="0.25">
      <c r="F14" s="128"/>
      <c r="G14" s="132"/>
      <c r="H14" s="132"/>
      <c r="I14" s="124"/>
      <c r="J14" s="124"/>
      <c r="K14" s="124"/>
      <c r="L14" s="124"/>
      <c r="M14" s="124"/>
      <c r="N14" s="124"/>
      <c r="O14" s="124"/>
      <c r="P14" s="124"/>
      <c r="Q14" s="124"/>
      <c r="R14" s="131"/>
      <c r="AJ14" s="120"/>
      <c r="AK14" s="120"/>
    </row>
    <row r="15" spans="1:37" x14ac:dyDescent="0.2">
      <c r="F15" s="133" t="s">
        <v>77</v>
      </c>
      <c r="G15" s="134" t="s">
        <v>72</v>
      </c>
      <c r="H15" s="134" t="s">
        <v>12</v>
      </c>
      <c r="I15" s="124"/>
      <c r="J15" s="188" t="s">
        <v>81</v>
      </c>
      <c r="K15" s="189"/>
      <c r="L15" s="189"/>
      <c r="M15" s="189"/>
      <c r="N15" s="190"/>
      <c r="O15" s="124"/>
      <c r="P15" s="124"/>
      <c r="Q15" s="124"/>
      <c r="R15" s="131"/>
      <c r="AJ15" s="120"/>
      <c r="AK15" s="120"/>
    </row>
    <row r="16" spans="1:37" x14ac:dyDescent="0.2">
      <c r="F16" s="135" t="s">
        <v>73</v>
      </c>
      <c r="G16" s="182">
        <v>1</v>
      </c>
      <c r="H16" s="182">
        <v>2013</v>
      </c>
      <c r="I16" s="124"/>
      <c r="J16" s="229" t="s">
        <v>82</v>
      </c>
      <c r="K16" s="230"/>
      <c r="L16" s="230"/>
      <c r="M16" s="230"/>
      <c r="N16" s="231"/>
      <c r="O16" s="124"/>
      <c r="P16" s="124"/>
      <c r="Q16" s="124"/>
      <c r="R16" s="131"/>
      <c r="AJ16" s="120"/>
      <c r="AK16" s="120"/>
    </row>
    <row r="17" spans="1:35" s="120" customFormat="1" x14ac:dyDescent="0.2">
      <c r="F17" s="135" t="s">
        <v>74</v>
      </c>
      <c r="G17" s="182">
        <v>12</v>
      </c>
      <c r="H17" s="182">
        <v>2020</v>
      </c>
      <c r="I17" s="124"/>
      <c r="J17" s="229" t="s">
        <v>83</v>
      </c>
      <c r="K17" s="230"/>
      <c r="L17" s="230"/>
      <c r="M17" s="230"/>
      <c r="N17" s="231"/>
      <c r="O17" s="124"/>
      <c r="P17" s="124"/>
      <c r="Q17" s="124"/>
      <c r="R17" s="131"/>
    </row>
    <row r="18" spans="1:35" s="120" customFormat="1" x14ac:dyDescent="0.2">
      <c r="F18" s="135" t="s">
        <v>75</v>
      </c>
      <c r="G18" s="182">
        <v>6</v>
      </c>
      <c r="H18" s="182">
        <v>2019</v>
      </c>
      <c r="I18" s="124"/>
      <c r="J18" s="229" t="s">
        <v>84</v>
      </c>
      <c r="K18" s="230"/>
      <c r="L18" s="230"/>
      <c r="M18" s="230"/>
      <c r="N18" s="231"/>
      <c r="O18" s="124"/>
      <c r="P18" s="124"/>
      <c r="Q18" s="124"/>
      <c r="R18" s="131"/>
    </row>
    <row r="19" spans="1:35" s="120" customFormat="1" ht="13.5" thickBot="1" x14ac:dyDescent="0.25">
      <c r="F19" s="135"/>
      <c r="H19" s="136"/>
      <c r="I19" s="124"/>
      <c r="J19" s="232"/>
      <c r="K19" s="233"/>
      <c r="L19" s="233"/>
      <c r="M19" s="233"/>
      <c r="N19" s="234"/>
      <c r="O19" s="124"/>
      <c r="P19" s="124"/>
      <c r="Q19" s="124"/>
      <c r="R19" s="131"/>
    </row>
    <row r="20" spans="1:35" s="120" customFormat="1" ht="13.5" thickBot="1" x14ac:dyDescent="0.25">
      <c r="F20" s="135"/>
      <c r="H20" s="136"/>
      <c r="I20" s="124"/>
      <c r="J20" s="124"/>
      <c r="K20" s="124"/>
      <c r="L20" s="124"/>
      <c r="M20" s="124"/>
      <c r="N20" s="124"/>
      <c r="O20" s="124"/>
      <c r="P20" s="124"/>
      <c r="Q20" s="124"/>
      <c r="R20" s="131"/>
    </row>
    <row r="21" spans="1:35" s="120" customFormat="1" x14ac:dyDescent="0.2">
      <c r="F21" s="124"/>
      <c r="G21" s="192"/>
      <c r="H21" s="205" t="str">
        <f>G5</f>
        <v>LTD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</row>
    <row r="22" spans="1:35" s="120" customFormat="1" ht="41.25" customHeight="1" thickBot="1" x14ac:dyDescent="0.25">
      <c r="F22" s="137"/>
      <c r="G22" s="193" t="s">
        <v>53</v>
      </c>
      <c r="H22" s="206" t="str">
        <f>G18&amp;"/"&amp;H18</f>
        <v>6/2019</v>
      </c>
      <c r="I22" s="138">
        <f>EDATE($H$22,1)</f>
        <v>43647</v>
      </c>
      <c r="J22" s="138">
        <f>EDATE($H$22,2)</f>
        <v>43678</v>
      </c>
      <c r="K22" s="138">
        <f>EDATE($H$22,3)</f>
        <v>43709</v>
      </c>
      <c r="L22" s="138">
        <f>EDATE($H$22,4)</f>
        <v>43739</v>
      </c>
      <c r="M22" s="138">
        <f>EDATE($H$22,5)</f>
        <v>43770</v>
      </c>
      <c r="N22" s="138">
        <f>EDATE($H$22,6)</f>
        <v>43800</v>
      </c>
      <c r="O22" s="138">
        <f>EDATE($H$22,7)</f>
        <v>43831</v>
      </c>
      <c r="P22" s="138">
        <f>EDATE($H$22,8)</f>
        <v>43862</v>
      </c>
      <c r="Q22" s="138">
        <f>EDATE($H$22,9)</f>
        <v>43891</v>
      </c>
      <c r="R22" s="138">
        <f>EDATE($H$22,10)</f>
        <v>43922</v>
      </c>
      <c r="S22" s="138">
        <f>EDATE($H$22,11)</f>
        <v>43952</v>
      </c>
      <c r="T22" s="138">
        <f>EDATE($H$22,12)</f>
        <v>43983</v>
      </c>
      <c r="U22" s="138">
        <f>EDATE($H$22,13)</f>
        <v>44013</v>
      </c>
      <c r="V22" s="138">
        <f>EDATE($H$22,14)</f>
        <v>44044</v>
      </c>
      <c r="W22" s="138">
        <f>EDATE($H$22,15)</f>
        <v>44075</v>
      </c>
      <c r="X22" s="138">
        <f>EDATE($H$22,16)</f>
        <v>44105</v>
      </c>
      <c r="Y22" s="138">
        <f>EDATE($H$22,17)</f>
        <v>44136</v>
      </c>
      <c r="Z22" s="138">
        <f>EDATE($H$22,18)</f>
        <v>44166</v>
      </c>
      <c r="AA22" s="138">
        <f>EDATE($H$22,19)</f>
        <v>44197</v>
      </c>
      <c r="AB22" s="138">
        <f>EDATE($H$22,20)</f>
        <v>44228</v>
      </c>
      <c r="AC22" s="138">
        <f>EDATE($H$22,21)</f>
        <v>44256</v>
      </c>
      <c r="AD22" s="138">
        <f>EDATE($H$22,22)</f>
        <v>44287</v>
      </c>
      <c r="AE22" s="138">
        <f>EDATE($H$22,23)</f>
        <v>44317</v>
      </c>
      <c r="AF22" s="139" t="str">
        <f>"from "&amp;TEXT(EDATE($H$22,24),"mmm-yy")&amp;" to "&amp;G17&amp;"/"&amp;H17</f>
        <v>from Jun-21 to 12/2020</v>
      </c>
      <c r="AG22" s="140" t="s">
        <v>54</v>
      </c>
      <c r="AI22" s="140" t="s">
        <v>55</v>
      </c>
    </row>
    <row r="23" spans="1:35" s="120" customFormat="1" ht="13.5" thickTop="1" x14ac:dyDescent="0.2">
      <c r="A23" s="141" t="s">
        <v>48</v>
      </c>
      <c r="B23" s="141" t="s">
        <v>49</v>
      </c>
      <c r="C23" s="141" t="s">
        <v>51</v>
      </c>
      <c r="D23" s="141" t="s">
        <v>50</v>
      </c>
      <c r="F23" s="142" t="s">
        <v>57</v>
      </c>
      <c r="G23" s="194"/>
      <c r="H23" s="207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4"/>
      <c r="AI23" s="144"/>
    </row>
    <row r="24" spans="1:35" s="120" customFormat="1" x14ac:dyDescent="0.2">
      <c r="A24" s="120" t="s">
        <v>18</v>
      </c>
      <c r="B24" s="120" t="str">
        <f>IF(MID($G$12,3,1)="-",MID($G$12,1,2)&amp;MID($G$12,4,8),$G$12)</f>
        <v>TH1027</v>
      </c>
      <c r="C24" s="120" t="s">
        <v>85</v>
      </c>
      <c r="D24" s="120" t="s">
        <v>18</v>
      </c>
      <c r="F24" s="128" t="s">
        <v>20</v>
      </c>
      <c r="G24" s="195">
        <v>12500000</v>
      </c>
      <c r="H24" s="208">
        <v>5536039.5700000003</v>
      </c>
      <c r="I24" s="236">
        <v>1000000</v>
      </c>
      <c r="J24" s="236">
        <v>1500000</v>
      </c>
      <c r="K24" s="236">
        <v>1550000</v>
      </c>
      <c r="L24" s="236">
        <v>1000000</v>
      </c>
      <c r="M24" s="236">
        <v>1500000</v>
      </c>
      <c r="N24" s="236"/>
      <c r="O24" s="237"/>
      <c r="P24" s="237"/>
      <c r="Q24" s="237">
        <v>100000</v>
      </c>
      <c r="R24" s="236"/>
      <c r="S24" s="236"/>
      <c r="T24" s="236"/>
      <c r="U24" s="236"/>
      <c r="V24" s="236"/>
      <c r="W24" s="236"/>
      <c r="X24" s="236"/>
      <c r="Y24" s="237"/>
      <c r="Z24" s="183"/>
      <c r="AA24" s="183"/>
      <c r="AB24" s="183"/>
      <c r="AC24" s="184"/>
      <c r="AD24" s="184"/>
      <c r="AE24" s="184"/>
      <c r="AF24" s="183"/>
      <c r="AG24" s="145">
        <f t="shared" ref="AG24:AG35" si="0">SUM(H24:AF24)</f>
        <v>12186039.57</v>
      </c>
      <c r="AH24" s="146"/>
      <c r="AI24" s="145">
        <f>AG24-G24</f>
        <v>-313960.4299999997</v>
      </c>
    </row>
    <row r="25" spans="1:35" s="120" customFormat="1" x14ac:dyDescent="0.2">
      <c r="A25" s="120" t="s">
        <v>18</v>
      </c>
      <c r="B25" s="120" t="str">
        <f t="shared" ref="B25:B37" si="1">IF(MID($G$12,3,1)="-",MID($G$12,1,2)&amp;MID($G$12,4,8),$G$12)</f>
        <v>TH1027</v>
      </c>
      <c r="D25" s="120" t="s">
        <v>18</v>
      </c>
      <c r="F25" s="128" t="s">
        <v>21</v>
      </c>
      <c r="G25" s="196">
        <v>625000</v>
      </c>
      <c r="H25" s="208">
        <v>0</v>
      </c>
      <c r="I25" s="238">
        <v>50000</v>
      </c>
      <c r="J25" s="243">
        <v>50000</v>
      </c>
      <c r="K25" s="243">
        <v>50000</v>
      </c>
      <c r="L25" s="243">
        <v>50000</v>
      </c>
      <c r="M25" s="243">
        <v>50000</v>
      </c>
      <c r="N25" s="238"/>
      <c r="O25" s="238"/>
      <c r="P25" s="238"/>
      <c r="Q25" s="238"/>
      <c r="R25" s="238"/>
      <c r="S25" s="238"/>
      <c r="T25" s="239"/>
      <c r="U25" s="238"/>
      <c r="V25" s="239"/>
      <c r="W25" s="239"/>
      <c r="X25" s="238"/>
      <c r="Y25" s="238"/>
      <c r="Z25" s="186"/>
      <c r="AA25" s="186"/>
      <c r="AB25" s="185"/>
      <c r="AC25" s="185"/>
      <c r="AD25" s="185"/>
      <c r="AE25" s="185"/>
      <c r="AF25" s="185"/>
      <c r="AG25" s="147">
        <f t="shared" si="0"/>
        <v>250000</v>
      </c>
      <c r="AH25" s="148"/>
      <c r="AI25" s="147">
        <f t="shared" ref="AI25:AI35" si="2">AG25-G25</f>
        <v>-375000</v>
      </c>
    </row>
    <row r="26" spans="1:35" s="120" customFormat="1" x14ac:dyDescent="0.2">
      <c r="A26" s="120" t="s">
        <v>18</v>
      </c>
      <c r="B26" s="120" t="str">
        <f t="shared" si="1"/>
        <v>TH1027</v>
      </c>
      <c r="C26" s="120" t="s">
        <v>22</v>
      </c>
      <c r="D26" s="120" t="s">
        <v>18</v>
      </c>
      <c r="F26" s="128" t="s">
        <v>60</v>
      </c>
      <c r="G26" s="196">
        <v>70000</v>
      </c>
      <c r="H26" s="208">
        <v>0</v>
      </c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185"/>
      <c r="AA26" s="185"/>
      <c r="AB26" s="185"/>
      <c r="AC26" s="185"/>
      <c r="AD26" s="185"/>
      <c r="AE26" s="185"/>
      <c r="AF26" s="185"/>
      <c r="AG26" s="147">
        <f t="shared" si="0"/>
        <v>0</v>
      </c>
      <c r="AH26" s="148"/>
      <c r="AI26" s="147">
        <f t="shared" si="2"/>
        <v>-70000</v>
      </c>
    </row>
    <row r="27" spans="1:35" s="120" customFormat="1" x14ac:dyDescent="0.2">
      <c r="A27" s="120" t="s">
        <v>18</v>
      </c>
      <c r="B27" s="120" t="str">
        <f t="shared" si="1"/>
        <v>TH1027</v>
      </c>
      <c r="C27" s="120" t="s">
        <v>23</v>
      </c>
      <c r="D27" s="120" t="s">
        <v>24</v>
      </c>
      <c r="F27" s="128" t="s">
        <v>25</v>
      </c>
      <c r="G27" s="197">
        <v>50000</v>
      </c>
      <c r="H27" s="209">
        <v>24106.240000000002</v>
      </c>
      <c r="I27" s="238">
        <v>5000</v>
      </c>
      <c r="J27" s="238">
        <v>5000</v>
      </c>
      <c r="K27" s="238">
        <v>5000</v>
      </c>
      <c r="L27" s="238">
        <v>2000</v>
      </c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185"/>
      <c r="AA27" s="185"/>
      <c r="AB27" s="185"/>
      <c r="AC27" s="185"/>
      <c r="AD27" s="185"/>
      <c r="AE27" s="185"/>
      <c r="AF27" s="185"/>
      <c r="AG27" s="147">
        <f t="shared" si="0"/>
        <v>41106.240000000005</v>
      </c>
      <c r="AH27" s="148"/>
      <c r="AI27" s="147">
        <f t="shared" si="2"/>
        <v>-8893.7599999999948</v>
      </c>
    </row>
    <row r="28" spans="1:35" s="120" customFormat="1" x14ac:dyDescent="0.2">
      <c r="A28" s="120" t="s">
        <v>18</v>
      </c>
      <c r="B28" s="120" t="str">
        <f t="shared" si="1"/>
        <v>TH1027</v>
      </c>
      <c r="C28" s="120" t="s">
        <v>26</v>
      </c>
      <c r="D28" s="120" t="s">
        <v>18</v>
      </c>
      <c r="F28" s="128" t="s">
        <v>27</v>
      </c>
      <c r="G28" s="197">
        <v>1000000</v>
      </c>
      <c r="H28" s="209">
        <v>1164653.4099999999</v>
      </c>
      <c r="I28" s="239">
        <v>1500</v>
      </c>
      <c r="J28" s="239">
        <v>1500</v>
      </c>
      <c r="K28" s="239">
        <v>1500</v>
      </c>
      <c r="L28" s="239">
        <v>1500</v>
      </c>
      <c r="M28" s="239">
        <v>1500</v>
      </c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186"/>
      <c r="AA28" s="186"/>
      <c r="AB28" s="186"/>
      <c r="AC28" s="186"/>
      <c r="AD28" s="186"/>
      <c r="AE28" s="186"/>
      <c r="AF28" s="186"/>
      <c r="AG28" s="147">
        <f t="shared" si="0"/>
        <v>1172153.4099999999</v>
      </c>
      <c r="AH28" s="148"/>
      <c r="AI28" s="147">
        <f t="shared" si="2"/>
        <v>172153.40999999992</v>
      </c>
    </row>
    <row r="29" spans="1:35" s="120" customFormat="1" x14ac:dyDescent="0.2">
      <c r="A29" s="120" t="s">
        <v>18</v>
      </c>
      <c r="B29" s="120" t="str">
        <f t="shared" si="1"/>
        <v>TH1027</v>
      </c>
      <c r="C29" s="120" t="s">
        <v>28</v>
      </c>
      <c r="D29" s="120" t="s">
        <v>18</v>
      </c>
      <c r="F29" s="128" t="s">
        <v>29</v>
      </c>
      <c r="G29" s="197"/>
      <c r="H29" s="209">
        <v>0</v>
      </c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185"/>
      <c r="AA29" s="185"/>
      <c r="AB29" s="185"/>
      <c r="AC29" s="185"/>
      <c r="AD29" s="185"/>
      <c r="AE29" s="185"/>
      <c r="AF29" s="185"/>
      <c r="AG29" s="147">
        <f t="shared" si="0"/>
        <v>0</v>
      </c>
      <c r="AH29" s="148"/>
      <c r="AI29" s="147">
        <f t="shared" si="2"/>
        <v>0</v>
      </c>
    </row>
    <row r="30" spans="1:35" s="120" customFormat="1" x14ac:dyDescent="0.2">
      <c r="A30" s="120" t="s">
        <v>18</v>
      </c>
      <c r="B30" s="120" t="str">
        <f t="shared" si="1"/>
        <v>TH1027</v>
      </c>
      <c r="C30" s="120" t="s">
        <v>30</v>
      </c>
      <c r="D30" s="120" t="s">
        <v>18</v>
      </c>
      <c r="F30" s="128" t="s">
        <v>31</v>
      </c>
      <c r="G30" s="197">
        <v>500000</v>
      </c>
      <c r="H30" s="209">
        <v>478565</v>
      </c>
      <c r="I30" s="238"/>
      <c r="J30" s="238"/>
      <c r="K30" s="238"/>
      <c r="L30" s="239"/>
      <c r="M30" s="239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185"/>
      <c r="AA30" s="185"/>
      <c r="AB30" s="185"/>
      <c r="AC30" s="185"/>
      <c r="AD30" s="185"/>
      <c r="AE30" s="185"/>
      <c r="AF30" s="185"/>
      <c r="AG30" s="147">
        <f t="shared" si="0"/>
        <v>478565</v>
      </c>
      <c r="AH30" s="148"/>
      <c r="AI30" s="147">
        <f t="shared" si="2"/>
        <v>-21435</v>
      </c>
    </row>
    <row r="31" spans="1:35" s="124" customFormat="1" x14ac:dyDescent="0.2">
      <c r="A31" s="124" t="s">
        <v>18</v>
      </c>
      <c r="B31" s="120" t="str">
        <f t="shared" si="1"/>
        <v>TH1027</v>
      </c>
      <c r="C31" s="124" t="s">
        <v>32</v>
      </c>
      <c r="D31" s="124" t="s">
        <v>18</v>
      </c>
      <c r="F31" s="128" t="s">
        <v>33</v>
      </c>
      <c r="G31" s="197">
        <v>2000000</v>
      </c>
      <c r="H31" s="209">
        <v>581004.91</v>
      </c>
      <c r="I31" s="238">
        <v>200000</v>
      </c>
      <c r="J31" s="238">
        <v>200000</v>
      </c>
      <c r="K31" s="238">
        <v>200000</v>
      </c>
      <c r="L31" s="238">
        <v>200000</v>
      </c>
      <c r="M31" s="238">
        <v>200000</v>
      </c>
      <c r="N31" s="238"/>
      <c r="O31" s="239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185"/>
      <c r="AA31" s="185"/>
      <c r="AB31" s="185"/>
      <c r="AC31" s="185"/>
      <c r="AD31" s="185"/>
      <c r="AE31" s="185"/>
      <c r="AF31" s="185"/>
      <c r="AG31" s="147">
        <f t="shared" si="0"/>
        <v>1581004.9100000001</v>
      </c>
      <c r="AH31" s="149"/>
      <c r="AI31" s="147">
        <f t="shared" si="2"/>
        <v>-418995.08999999985</v>
      </c>
    </row>
    <row r="32" spans="1:35" s="120" customFormat="1" x14ac:dyDescent="0.2">
      <c r="A32" s="120" t="s">
        <v>18</v>
      </c>
      <c r="B32" s="120" t="str">
        <f t="shared" si="1"/>
        <v>TH1027</v>
      </c>
      <c r="C32" s="120" t="s">
        <v>23</v>
      </c>
      <c r="D32" s="120" t="s">
        <v>34</v>
      </c>
      <c r="F32" s="128" t="s">
        <v>35</v>
      </c>
      <c r="G32" s="197"/>
      <c r="H32" s="209">
        <v>8415.8700000000008</v>
      </c>
      <c r="I32" s="238"/>
      <c r="J32" s="238"/>
      <c r="K32" s="238"/>
      <c r="L32" s="238"/>
      <c r="M32" s="238"/>
      <c r="N32" s="238"/>
      <c r="O32" s="239"/>
      <c r="P32" s="239"/>
      <c r="Q32" s="238"/>
      <c r="R32" s="238"/>
      <c r="S32" s="238"/>
      <c r="T32" s="238"/>
      <c r="U32" s="238"/>
      <c r="V32" s="238"/>
      <c r="W32" s="238"/>
      <c r="X32" s="238"/>
      <c r="Y32" s="238"/>
      <c r="Z32" s="185"/>
      <c r="AA32" s="185"/>
      <c r="AB32" s="185"/>
      <c r="AC32" s="185"/>
      <c r="AD32" s="185"/>
      <c r="AE32" s="185"/>
      <c r="AF32" s="185"/>
      <c r="AG32" s="147">
        <f t="shared" si="0"/>
        <v>8415.8700000000008</v>
      </c>
      <c r="AH32" s="148"/>
      <c r="AI32" s="147">
        <f t="shared" si="2"/>
        <v>8415.8700000000008</v>
      </c>
    </row>
    <row r="33" spans="1:35" s="120" customFormat="1" x14ac:dyDescent="0.2">
      <c r="A33" s="120" t="s">
        <v>18</v>
      </c>
      <c r="B33" s="120" t="str">
        <f t="shared" si="1"/>
        <v>TH1027</v>
      </c>
      <c r="C33" s="120" t="s">
        <v>36</v>
      </c>
      <c r="D33" s="120" t="s">
        <v>18</v>
      </c>
      <c r="F33" s="128" t="s">
        <v>37</v>
      </c>
      <c r="G33" s="197">
        <v>10000</v>
      </c>
      <c r="H33" s="209">
        <v>98462.68</v>
      </c>
      <c r="I33" s="239"/>
      <c r="J33" s="238"/>
      <c r="K33" s="238"/>
      <c r="L33" s="238"/>
      <c r="M33" s="238"/>
      <c r="N33" s="238"/>
      <c r="O33" s="239"/>
      <c r="P33" s="239"/>
      <c r="Q33" s="238"/>
      <c r="R33" s="238"/>
      <c r="S33" s="238"/>
      <c r="T33" s="238"/>
      <c r="U33" s="239"/>
      <c r="V33" s="238"/>
      <c r="W33" s="238"/>
      <c r="X33" s="238"/>
      <c r="Y33" s="238"/>
      <c r="Z33" s="185"/>
      <c r="AA33" s="185"/>
      <c r="AB33" s="185"/>
      <c r="AC33" s="185"/>
      <c r="AD33" s="185"/>
      <c r="AE33" s="185"/>
      <c r="AF33" s="185"/>
      <c r="AG33" s="147">
        <f t="shared" si="0"/>
        <v>98462.68</v>
      </c>
      <c r="AH33" s="148"/>
      <c r="AI33" s="147">
        <f t="shared" si="2"/>
        <v>88462.68</v>
      </c>
    </row>
    <row r="34" spans="1:35" s="120" customFormat="1" x14ac:dyDescent="0.2">
      <c r="A34" s="120" t="s">
        <v>18</v>
      </c>
      <c r="B34" s="120" t="str">
        <f t="shared" si="1"/>
        <v>TH1027</v>
      </c>
      <c r="C34" s="120" t="s">
        <v>38</v>
      </c>
      <c r="D34" s="120" t="s">
        <v>18</v>
      </c>
      <c r="F34" s="128" t="s">
        <v>39</v>
      </c>
      <c r="G34" s="197"/>
      <c r="H34" s="209">
        <v>146188</v>
      </c>
      <c r="I34" s="238"/>
      <c r="J34" s="238"/>
      <c r="K34" s="238"/>
      <c r="L34" s="238"/>
      <c r="M34" s="238"/>
      <c r="N34" s="238"/>
      <c r="O34" s="239"/>
      <c r="P34" s="239"/>
      <c r="Q34" s="238"/>
      <c r="R34" s="238"/>
      <c r="S34" s="238"/>
      <c r="T34" s="238"/>
      <c r="U34" s="238"/>
      <c r="V34" s="238"/>
      <c r="W34" s="238"/>
      <c r="X34" s="238"/>
      <c r="Y34" s="238"/>
      <c r="Z34" s="185"/>
      <c r="AA34" s="185"/>
      <c r="AB34" s="185"/>
      <c r="AC34" s="185"/>
      <c r="AD34" s="185"/>
      <c r="AE34" s="185"/>
      <c r="AF34" s="185"/>
      <c r="AG34" s="147">
        <f t="shared" si="0"/>
        <v>146188</v>
      </c>
      <c r="AH34" s="148"/>
      <c r="AI34" s="147">
        <f t="shared" si="2"/>
        <v>146188</v>
      </c>
    </row>
    <row r="35" spans="1:35" s="120" customFormat="1" x14ac:dyDescent="0.2">
      <c r="A35" s="120" t="s">
        <v>18</v>
      </c>
      <c r="B35" s="120" t="str">
        <f t="shared" si="1"/>
        <v>TH1027</v>
      </c>
      <c r="C35" s="120" t="s">
        <v>40</v>
      </c>
      <c r="D35" s="120" t="s">
        <v>18</v>
      </c>
      <c r="F35" s="150" t="s">
        <v>41</v>
      </c>
      <c r="G35" s="198">
        <v>250000</v>
      </c>
      <c r="H35" s="210">
        <v>305130</v>
      </c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187"/>
      <c r="AA35" s="187"/>
      <c r="AB35" s="187"/>
      <c r="AC35" s="187"/>
      <c r="AD35" s="187"/>
      <c r="AE35" s="187"/>
      <c r="AF35" s="187"/>
      <c r="AG35" s="151">
        <f t="shared" si="0"/>
        <v>305130</v>
      </c>
      <c r="AH35" s="148"/>
      <c r="AI35" s="151">
        <f t="shared" si="2"/>
        <v>55130</v>
      </c>
    </row>
    <row r="36" spans="1:35" s="152" customFormat="1" x14ac:dyDescent="0.2">
      <c r="F36" s="153" t="s">
        <v>6</v>
      </c>
      <c r="G36" s="199">
        <f>SUM(G24:G35)</f>
        <v>17005000</v>
      </c>
      <c r="H36" s="211"/>
      <c r="I36" s="154">
        <f t="shared" ref="I36:R36" si="3">SUM(I24:I35)</f>
        <v>1256500</v>
      </c>
      <c r="J36" s="154">
        <f t="shared" si="3"/>
        <v>1756500</v>
      </c>
      <c r="K36" s="154">
        <f t="shared" si="3"/>
        <v>1806500</v>
      </c>
      <c r="L36" s="154">
        <f t="shared" si="3"/>
        <v>1253500</v>
      </c>
      <c r="M36" s="154">
        <f t="shared" si="3"/>
        <v>1751500</v>
      </c>
      <c r="N36" s="154">
        <f t="shared" si="3"/>
        <v>0</v>
      </c>
      <c r="O36" s="154">
        <f t="shared" si="3"/>
        <v>0</v>
      </c>
      <c r="P36" s="154">
        <f t="shared" si="3"/>
        <v>0</v>
      </c>
      <c r="Q36" s="154">
        <f t="shared" si="3"/>
        <v>100000</v>
      </c>
      <c r="R36" s="154">
        <f t="shared" si="3"/>
        <v>0</v>
      </c>
      <c r="S36" s="154">
        <f>SUM(S24:S35)</f>
        <v>0</v>
      </c>
      <c r="T36" s="154">
        <f t="shared" ref="T36:AF36" si="4">SUM(T24:T35)</f>
        <v>0</v>
      </c>
      <c r="U36" s="154">
        <f t="shared" si="4"/>
        <v>0</v>
      </c>
      <c r="V36" s="154">
        <f t="shared" si="4"/>
        <v>0</v>
      </c>
      <c r="W36" s="154">
        <f t="shared" si="4"/>
        <v>0</v>
      </c>
      <c r="X36" s="154">
        <f t="shared" si="4"/>
        <v>0</v>
      </c>
      <c r="Y36" s="154">
        <f>SUM(Y24:Y35)</f>
        <v>0</v>
      </c>
      <c r="Z36" s="154">
        <f t="shared" si="4"/>
        <v>0</v>
      </c>
      <c r="AA36" s="154">
        <f t="shared" si="4"/>
        <v>0</v>
      </c>
      <c r="AB36" s="154">
        <f t="shared" si="4"/>
        <v>0</v>
      </c>
      <c r="AC36" s="154">
        <f t="shared" si="4"/>
        <v>0</v>
      </c>
      <c r="AD36" s="154">
        <f t="shared" ref="AD36:AE36" si="5">SUM(AD24:AD35)</f>
        <v>0</v>
      </c>
      <c r="AE36" s="154">
        <f t="shared" si="5"/>
        <v>0</v>
      </c>
      <c r="AF36" s="154">
        <f t="shared" si="4"/>
        <v>0</v>
      </c>
      <c r="AG36" s="155">
        <f>SUM(AG23:AG35)</f>
        <v>16267065.68</v>
      </c>
      <c r="AH36" s="156"/>
      <c r="AI36" s="155">
        <f>SUM(AI23:AI35)</f>
        <v>-737934.3199999996</v>
      </c>
    </row>
    <row r="37" spans="1:35" s="158" customFormat="1" x14ac:dyDescent="0.2">
      <c r="A37" s="120" t="s">
        <v>18</v>
      </c>
      <c r="B37" s="120" t="str">
        <f t="shared" si="1"/>
        <v>TH1027</v>
      </c>
      <c r="C37" s="157" t="s">
        <v>52</v>
      </c>
      <c r="D37" s="120" t="s">
        <v>18</v>
      </c>
      <c r="F37" s="159" t="s">
        <v>7</v>
      </c>
      <c r="G37" s="200"/>
      <c r="H37" s="212">
        <v>8342565.6799999997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1"/>
      <c r="AH37" s="162"/>
      <c r="AI37" s="161"/>
    </row>
    <row r="38" spans="1:35" s="163" customFormat="1" x14ac:dyDescent="0.2">
      <c r="F38" s="164"/>
      <c r="G38" s="201"/>
      <c r="H38" s="213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6"/>
      <c r="AH38" s="167"/>
      <c r="AI38" s="166"/>
    </row>
    <row r="39" spans="1:35" s="120" customFormat="1" x14ac:dyDescent="0.2">
      <c r="F39" s="128"/>
      <c r="G39" s="202"/>
      <c r="H39" s="20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47"/>
      <c r="AH39" s="148"/>
      <c r="AI39" s="147"/>
    </row>
    <row r="40" spans="1:35" s="120" customFormat="1" x14ac:dyDescent="0.2">
      <c r="F40" s="158" t="s">
        <v>58</v>
      </c>
      <c r="G40" s="202"/>
      <c r="H40" s="20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47"/>
      <c r="AH40" s="149"/>
      <c r="AI40" s="147"/>
    </row>
    <row r="41" spans="1:35" s="120" customFormat="1" x14ac:dyDescent="0.2">
      <c r="A41" s="120" t="s">
        <v>18</v>
      </c>
      <c r="B41" s="120" t="str">
        <f t="shared" ref="B41:B47" si="6">IF(MID($G$12,3,1)="-",MID($G$12,1,2)&amp;MID($G$12,4,8),$G$12)</f>
        <v>TH1027</v>
      </c>
      <c r="C41" s="157" t="s">
        <v>62</v>
      </c>
      <c r="D41" s="120" t="s">
        <v>86</v>
      </c>
      <c r="F41" s="128" t="s">
        <v>56</v>
      </c>
      <c r="G41" s="195">
        <v>0</v>
      </c>
      <c r="H41" s="212">
        <v>0</v>
      </c>
      <c r="I41" s="241"/>
      <c r="J41" s="241"/>
      <c r="K41" s="241"/>
      <c r="L41" s="241"/>
      <c r="M41" s="241"/>
      <c r="N41" s="241"/>
      <c r="O41" s="242"/>
      <c r="P41" s="242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183"/>
      <c r="AB41" s="183"/>
      <c r="AC41" s="183"/>
      <c r="AD41" s="183"/>
      <c r="AE41" s="183"/>
      <c r="AF41" s="183"/>
      <c r="AG41" s="145">
        <f t="shared" ref="AG41:AG47" si="7">SUM(H41:AF41)</f>
        <v>0</v>
      </c>
      <c r="AH41" s="146"/>
      <c r="AI41" s="145">
        <f t="shared" ref="AI41:AI48" si="8">AG41-G41</f>
        <v>0</v>
      </c>
    </row>
    <row r="42" spans="1:35" s="120" customFormat="1" x14ac:dyDescent="0.2">
      <c r="A42" s="120" t="s">
        <v>18</v>
      </c>
      <c r="B42" s="120" t="str">
        <f t="shared" si="6"/>
        <v>TH1027</v>
      </c>
      <c r="C42" s="157" t="s">
        <v>42</v>
      </c>
      <c r="D42" s="120" t="s">
        <v>87</v>
      </c>
      <c r="F42" s="128" t="s">
        <v>59</v>
      </c>
      <c r="G42" s="196">
        <v>3392000</v>
      </c>
      <c r="H42" s="208">
        <v>670114.73</v>
      </c>
      <c r="I42" s="243">
        <v>150000</v>
      </c>
      <c r="J42" s="243">
        <v>150000</v>
      </c>
      <c r="K42" s="243">
        <v>150000</v>
      </c>
      <c r="L42" s="243">
        <v>150000</v>
      </c>
      <c r="M42" s="243">
        <v>775000</v>
      </c>
      <c r="N42" s="243">
        <v>500000</v>
      </c>
      <c r="O42" s="244">
        <v>200000</v>
      </c>
      <c r="P42" s="244">
        <v>200000</v>
      </c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185"/>
      <c r="AB42" s="185"/>
      <c r="AC42" s="185"/>
      <c r="AD42" s="185"/>
      <c r="AE42" s="185"/>
      <c r="AF42" s="185"/>
      <c r="AG42" s="147">
        <f>SUM(H42:AF42)</f>
        <v>2945114.73</v>
      </c>
      <c r="AH42" s="148"/>
      <c r="AI42" s="147">
        <f t="shared" si="8"/>
        <v>-446885.27</v>
      </c>
    </row>
    <row r="43" spans="1:35" s="120" customFormat="1" x14ac:dyDescent="0.2">
      <c r="A43" s="120" t="s">
        <v>18</v>
      </c>
      <c r="B43" s="120" t="str">
        <f t="shared" si="6"/>
        <v>TH1027</v>
      </c>
      <c r="C43" s="157" t="s">
        <v>42</v>
      </c>
      <c r="D43" s="120" t="s">
        <v>88</v>
      </c>
      <c r="F43" s="128" t="s">
        <v>45</v>
      </c>
      <c r="G43" s="196">
        <v>0</v>
      </c>
      <c r="H43" s="208">
        <v>2531201.14</v>
      </c>
      <c r="I43" s="243">
        <v>800000</v>
      </c>
      <c r="J43" s="243">
        <v>800000</v>
      </c>
      <c r="K43" s="243">
        <v>800000</v>
      </c>
      <c r="L43" s="243">
        <v>890000</v>
      </c>
      <c r="M43" s="243">
        <v>500000</v>
      </c>
      <c r="N43" s="243">
        <v>200000</v>
      </c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185"/>
      <c r="AB43" s="185"/>
      <c r="AC43" s="185"/>
      <c r="AD43" s="185"/>
      <c r="AE43" s="185"/>
      <c r="AF43" s="185"/>
      <c r="AG43" s="147">
        <f t="shared" si="7"/>
        <v>6521201.1400000006</v>
      </c>
      <c r="AH43" s="148"/>
      <c r="AI43" s="147">
        <f t="shared" si="8"/>
        <v>6521201.1400000006</v>
      </c>
    </row>
    <row r="44" spans="1:35" s="120" customFormat="1" x14ac:dyDescent="0.2">
      <c r="A44" s="120" t="s">
        <v>18</v>
      </c>
      <c r="B44" s="120" t="str">
        <f t="shared" si="6"/>
        <v>TH1027</v>
      </c>
      <c r="C44" s="157" t="s">
        <v>42</v>
      </c>
      <c r="D44" s="157" t="s">
        <v>89</v>
      </c>
      <c r="F44" s="128" t="s">
        <v>64</v>
      </c>
      <c r="G44" s="197">
        <v>6640000</v>
      </c>
      <c r="H44" s="208">
        <v>0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185"/>
      <c r="AB44" s="185"/>
      <c r="AC44" s="185"/>
      <c r="AD44" s="185"/>
      <c r="AE44" s="185"/>
      <c r="AF44" s="185"/>
      <c r="AG44" s="147">
        <f t="shared" si="7"/>
        <v>0</v>
      </c>
      <c r="AH44" s="148"/>
      <c r="AI44" s="147">
        <f t="shared" si="8"/>
        <v>-6640000</v>
      </c>
    </row>
    <row r="45" spans="1:35" s="120" customFormat="1" x14ac:dyDescent="0.2">
      <c r="A45" s="120" t="s">
        <v>18</v>
      </c>
      <c r="B45" s="120" t="str">
        <f t="shared" si="6"/>
        <v>TH1027</v>
      </c>
      <c r="C45" s="157" t="s">
        <v>42</v>
      </c>
      <c r="D45" s="157" t="s">
        <v>90</v>
      </c>
      <c r="F45" s="128" t="s">
        <v>61</v>
      </c>
      <c r="G45" s="197">
        <v>0</v>
      </c>
      <c r="H45" s="208">
        <v>0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185"/>
      <c r="AB45" s="185"/>
      <c r="AC45" s="185"/>
      <c r="AD45" s="185"/>
      <c r="AE45" s="185"/>
      <c r="AF45" s="185"/>
      <c r="AG45" s="147">
        <f t="shared" si="7"/>
        <v>0</v>
      </c>
      <c r="AH45" s="148"/>
      <c r="AI45" s="147">
        <f t="shared" si="8"/>
        <v>0</v>
      </c>
    </row>
    <row r="46" spans="1:35" s="120" customFormat="1" x14ac:dyDescent="0.2">
      <c r="A46" s="120" t="s">
        <v>18</v>
      </c>
      <c r="B46" s="120" t="str">
        <f t="shared" si="6"/>
        <v>TH1027</v>
      </c>
      <c r="C46" s="157" t="s">
        <v>42</v>
      </c>
      <c r="D46" s="157" t="s">
        <v>68</v>
      </c>
      <c r="F46" s="128" t="s">
        <v>67</v>
      </c>
      <c r="G46" s="197">
        <v>0</v>
      </c>
      <c r="H46" s="208">
        <v>0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185"/>
      <c r="AB46" s="185"/>
      <c r="AC46" s="185"/>
      <c r="AD46" s="185"/>
      <c r="AE46" s="185"/>
      <c r="AF46" s="185"/>
      <c r="AG46" s="147">
        <f t="shared" ref="AG46" si="9">SUM(H46:AF46)</f>
        <v>0</v>
      </c>
      <c r="AH46" s="148"/>
      <c r="AI46" s="147">
        <f t="shared" si="8"/>
        <v>0</v>
      </c>
    </row>
    <row r="47" spans="1:35" s="120" customFormat="1" x14ac:dyDescent="0.2">
      <c r="A47" s="120" t="s">
        <v>18</v>
      </c>
      <c r="B47" s="120" t="str">
        <f t="shared" si="6"/>
        <v>TH1027</v>
      </c>
      <c r="C47" s="157" t="s">
        <v>46</v>
      </c>
      <c r="D47" s="120" t="s">
        <v>47</v>
      </c>
      <c r="F47" s="128" t="s">
        <v>66</v>
      </c>
      <c r="G47" s="197">
        <v>0</v>
      </c>
      <c r="H47" s="208">
        <v>0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185"/>
      <c r="AB47" s="185"/>
      <c r="AC47" s="185"/>
      <c r="AD47" s="185"/>
      <c r="AE47" s="185"/>
      <c r="AF47" s="185"/>
      <c r="AG47" s="147">
        <f t="shared" si="7"/>
        <v>0</v>
      </c>
      <c r="AH47" s="148"/>
      <c r="AI47" s="147">
        <f t="shared" si="8"/>
        <v>0</v>
      </c>
    </row>
    <row r="48" spans="1:35" s="120" customFormat="1" x14ac:dyDescent="0.2">
      <c r="F48" s="150"/>
      <c r="G48" s="235"/>
      <c r="H48" s="210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187"/>
      <c r="AB48" s="187"/>
      <c r="AC48" s="187"/>
      <c r="AD48" s="187"/>
      <c r="AE48" s="187"/>
      <c r="AF48" s="187"/>
      <c r="AG48" s="151">
        <f>SUM(H48:AF48)</f>
        <v>0</v>
      </c>
      <c r="AH48" s="148"/>
      <c r="AI48" s="151">
        <f t="shared" si="8"/>
        <v>0</v>
      </c>
    </row>
    <row r="49" spans="6:35" s="152" customFormat="1" x14ac:dyDescent="0.2">
      <c r="F49" s="169" t="s">
        <v>8</v>
      </c>
      <c r="G49" s="199">
        <f>SUM(G41:G48)</f>
        <v>10032000</v>
      </c>
      <c r="H49" s="214"/>
      <c r="I49" s="170">
        <f t="shared" ref="I49:AG49" si="10">SUM(I41:I48)</f>
        <v>950000</v>
      </c>
      <c r="J49" s="170">
        <f t="shared" si="10"/>
        <v>950000</v>
      </c>
      <c r="K49" s="170">
        <f t="shared" si="10"/>
        <v>950000</v>
      </c>
      <c r="L49" s="170">
        <f t="shared" si="10"/>
        <v>1040000</v>
      </c>
      <c r="M49" s="170">
        <f t="shared" si="10"/>
        <v>1275000</v>
      </c>
      <c r="N49" s="170">
        <f t="shared" si="10"/>
        <v>700000</v>
      </c>
      <c r="O49" s="170">
        <f t="shared" si="10"/>
        <v>200000</v>
      </c>
      <c r="P49" s="170">
        <f t="shared" si="10"/>
        <v>200000</v>
      </c>
      <c r="Q49" s="170">
        <f t="shared" si="10"/>
        <v>0</v>
      </c>
      <c r="R49" s="170">
        <f t="shared" si="10"/>
        <v>0</v>
      </c>
      <c r="S49" s="170">
        <f t="shared" si="10"/>
        <v>0</v>
      </c>
      <c r="T49" s="170">
        <f t="shared" si="10"/>
        <v>0</v>
      </c>
      <c r="U49" s="170">
        <f t="shared" si="10"/>
        <v>0</v>
      </c>
      <c r="V49" s="170">
        <f t="shared" si="10"/>
        <v>0</v>
      </c>
      <c r="W49" s="170">
        <f t="shared" si="10"/>
        <v>0</v>
      </c>
      <c r="X49" s="170">
        <f t="shared" si="10"/>
        <v>0</v>
      </c>
      <c r="Y49" s="170">
        <f t="shared" si="10"/>
        <v>0</v>
      </c>
      <c r="Z49" s="170">
        <f t="shared" si="10"/>
        <v>0</v>
      </c>
      <c r="AA49" s="170">
        <f t="shared" si="10"/>
        <v>0</v>
      </c>
      <c r="AB49" s="170">
        <f t="shared" si="10"/>
        <v>0</v>
      </c>
      <c r="AC49" s="170">
        <f t="shared" si="10"/>
        <v>0</v>
      </c>
      <c r="AD49" s="170">
        <f t="shared" si="10"/>
        <v>0</v>
      </c>
      <c r="AE49" s="170">
        <f t="shared" si="10"/>
        <v>0</v>
      </c>
      <c r="AF49" s="170">
        <f t="shared" si="10"/>
        <v>0</v>
      </c>
      <c r="AG49" s="171">
        <f t="shared" si="10"/>
        <v>9466315.870000001</v>
      </c>
      <c r="AH49" s="156"/>
      <c r="AI49" s="171">
        <f>SUM(AI41:AI48)</f>
        <v>-565684.12999999896</v>
      </c>
    </row>
    <row r="50" spans="6:35" s="158" customFormat="1" x14ac:dyDescent="0.2">
      <c r="F50" s="159" t="s">
        <v>9</v>
      </c>
      <c r="G50" s="203"/>
      <c r="H50" s="212">
        <f>SUM(H41:H48)</f>
        <v>3201315.87</v>
      </c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4"/>
      <c r="AH50" s="162"/>
      <c r="AI50" s="174"/>
    </row>
    <row r="51" spans="6:35" s="177" customFormat="1" ht="13.5" thickBot="1" x14ac:dyDescent="0.25">
      <c r="F51" s="164"/>
      <c r="G51" s="204"/>
      <c r="H51" s="213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66"/>
      <c r="AH51" s="176"/>
      <c r="AI51" s="166"/>
    </row>
    <row r="52" spans="6:35" s="120" customFormat="1" x14ac:dyDescent="0.2">
      <c r="F52" s="128"/>
      <c r="G52" s="178"/>
      <c r="H52" s="212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45"/>
      <c r="AH52" s="146"/>
      <c r="AI52" s="145"/>
    </row>
    <row r="53" spans="6:35" s="120" customFormat="1" ht="13.5" thickBot="1" x14ac:dyDescent="0.25">
      <c r="F53" s="135"/>
      <c r="G53" s="135" t="s">
        <v>70</v>
      </c>
      <c r="H53" s="215">
        <f>H50-H37</f>
        <v>-5141249.8099999996</v>
      </c>
      <c r="I53" s="179">
        <f>I49-I36</f>
        <v>-306500</v>
      </c>
      <c r="J53" s="179">
        <f t="shared" ref="J53:AG53" si="11">J49-J36</f>
        <v>-806500</v>
      </c>
      <c r="K53" s="179">
        <f t="shared" si="11"/>
        <v>-856500</v>
      </c>
      <c r="L53" s="179">
        <f t="shared" si="11"/>
        <v>-213500</v>
      </c>
      <c r="M53" s="179">
        <f t="shared" si="11"/>
        <v>-476500</v>
      </c>
      <c r="N53" s="179">
        <f t="shared" si="11"/>
        <v>700000</v>
      </c>
      <c r="O53" s="179">
        <f t="shared" si="11"/>
        <v>200000</v>
      </c>
      <c r="P53" s="179">
        <f t="shared" si="11"/>
        <v>200000</v>
      </c>
      <c r="Q53" s="179">
        <f t="shared" si="11"/>
        <v>-100000</v>
      </c>
      <c r="R53" s="179">
        <f t="shared" si="11"/>
        <v>0</v>
      </c>
      <c r="S53" s="179">
        <f t="shared" si="11"/>
        <v>0</v>
      </c>
      <c r="T53" s="179">
        <f t="shared" si="11"/>
        <v>0</v>
      </c>
      <c r="U53" s="179">
        <f t="shared" si="11"/>
        <v>0</v>
      </c>
      <c r="V53" s="179">
        <f t="shared" si="11"/>
        <v>0</v>
      </c>
      <c r="W53" s="179">
        <f t="shared" si="11"/>
        <v>0</v>
      </c>
      <c r="X53" s="179">
        <f t="shared" si="11"/>
        <v>0</v>
      </c>
      <c r="Y53" s="179">
        <f t="shared" si="11"/>
        <v>0</v>
      </c>
      <c r="Z53" s="179">
        <f t="shared" si="11"/>
        <v>0</v>
      </c>
      <c r="AA53" s="179">
        <f t="shared" si="11"/>
        <v>0</v>
      </c>
      <c r="AB53" s="179">
        <f t="shared" si="11"/>
        <v>0</v>
      </c>
      <c r="AC53" s="179">
        <f t="shared" si="11"/>
        <v>0</v>
      </c>
      <c r="AD53" s="179">
        <f t="shared" si="11"/>
        <v>0</v>
      </c>
      <c r="AE53" s="179">
        <f t="shared" si="11"/>
        <v>0</v>
      </c>
      <c r="AF53" s="179">
        <f t="shared" si="11"/>
        <v>0</v>
      </c>
      <c r="AG53" s="179">
        <f t="shared" si="11"/>
        <v>-6800749.8099999987</v>
      </c>
      <c r="AH53" s="146"/>
      <c r="AI53" s="180">
        <f>AI49-AI36</f>
        <v>172250.19000000064</v>
      </c>
    </row>
    <row r="54" spans="6:35" s="120" customFormat="1" ht="72" customHeight="1" thickTop="1" x14ac:dyDescent="0.2">
      <c r="F54" s="124"/>
      <c r="G54" s="124"/>
      <c r="H54" s="191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AI54" s="181" t="str">
        <f>IF(AI53&lt;&gt;0,"ERROR: Variance should be ZERO; Revise project budget or cash flow","")</f>
        <v>ERROR: Variance should be ZERO; Revise project budget or cash flow</v>
      </c>
    </row>
    <row r="55" spans="6:35" s="120" customFormat="1" x14ac:dyDescent="0.2"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</row>
  </sheetData>
  <mergeCells count="5">
    <mergeCell ref="G13:H13"/>
    <mergeCell ref="G11:H11"/>
    <mergeCell ref="K11:L11"/>
    <mergeCell ref="G12:H12"/>
    <mergeCell ref="K12:L12"/>
  </mergeCells>
  <conditionalFormatting sqref="AI53">
    <cfRule type="cellIs" dxfId="1" priority="1" operator="equal">
      <formula>0</formula>
    </cfRule>
  </conditionalFormatting>
  <dataValidations count="1">
    <dataValidation allowBlank="1" showInputMessage="1" showErrorMessage="1" prompt="Do Not Enter Data_x000a__x000a_Project Budget is entered in Orange Cells Below." sqref="G13:H13"/>
  </dataValidations>
  <pageMargins left="0.28999999999999998" right="0.28999999999999998" top="0.75" bottom="0.75" header="0.3" footer="0.3"/>
  <pageSetup scale="60" fitToWidth="3" fitToHeight="0" pageOrder="overThenDown" orientation="landscape" r:id="rId1"/>
  <colBreaks count="2" manualBreakCount="2">
    <brk id="19" min="9" max="53" man="1"/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45"/>
  <sheetViews>
    <sheetView topLeftCell="F9" zoomScale="90" zoomScaleNormal="90" zoomScaleSheetLayoutView="80" workbookViewId="0">
      <selection activeCell="F10" sqref="F10"/>
    </sheetView>
  </sheetViews>
  <sheetFormatPr defaultRowHeight="12.75" outlineLevelRow="1" outlineLevelCol="1" x14ac:dyDescent="0.2"/>
  <cols>
    <col min="1" max="1" width="5.140625" hidden="1" customWidth="1" outlineLevel="1"/>
    <col min="2" max="2" width="9.140625" hidden="1" customWidth="1" outlineLevel="1"/>
    <col min="3" max="3" width="12.42578125" hidden="1" customWidth="1" outlineLevel="1"/>
    <col min="4" max="4" width="9.140625" hidden="1" customWidth="1" outlineLevel="1"/>
    <col min="5" max="5" width="3.140625" hidden="1" customWidth="1" outlineLevel="1"/>
    <col min="6" max="6" width="35.28515625" customWidth="1" collapsed="1"/>
    <col min="7" max="7" width="20.28515625" customWidth="1"/>
    <col min="8" max="11" width="16.5703125" customWidth="1"/>
    <col min="12" max="12" width="1" customWidth="1"/>
    <col min="13" max="13" width="17.5703125" customWidth="1"/>
    <col min="14" max="14" width="2.140625" customWidth="1"/>
    <col min="15" max="15" width="17.5703125" customWidth="1"/>
    <col min="16" max="16" width="2" customWidth="1"/>
  </cols>
  <sheetData>
    <row r="1" spans="1:15" s="14" customFormat="1" ht="15" hidden="1" outlineLevel="1" x14ac:dyDescent="0.25">
      <c r="A1" s="12"/>
      <c r="B1" s="13"/>
      <c r="C1" s="13"/>
      <c r="D1" s="12"/>
      <c r="E1" s="12"/>
      <c r="F1" s="12"/>
      <c r="G1" s="12"/>
      <c r="H1" s="12"/>
      <c r="I1" s="12"/>
      <c r="J1" s="12"/>
      <c r="K1" s="12"/>
    </row>
    <row r="2" spans="1:15" s="14" customFormat="1" ht="15" hidden="1" outlineLevel="1" x14ac:dyDescent="0.25">
      <c r="A2" s="12"/>
      <c r="B2" s="13"/>
      <c r="C2" s="13"/>
      <c r="D2" s="12"/>
      <c r="E2" s="12"/>
      <c r="F2" s="12"/>
      <c r="G2" s="12"/>
      <c r="H2" s="22"/>
      <c r="I2" s="22"/>
      <c r="J2" s="22"/>
      <c r="K2" s="22"/>
    </row>
    <row r="3" spans="1:15" s="12" customFormat="1" ht="15" hidden="1" outlineLevel="1" x14ac:dyDescent="0.25">
      <c r="A3" s="13"/>
      <c r="B3" s="13"/>
      <c r="C3" s="13"/>
      <c r="F3" s="15" t="s">
        <v>10</v>
      </c>
      <c r="H3" s="50" t="s">
        <v>11</v>
      </c>
      <c r="I3" s="16" t="s">
        <v>11</v>
      </c>
      <c r="J3" s="16" t="s">
        <v>11</v>
      </c>
      <c r="K3" s="16" t="s">
        <v>11</v>
      </c>
    </row>
    <row r="4" spans="1:15" s="12" customFormat="1" ht="15" hidden="1" outlineLevel="1" x14ac:dyDescent="0.25">
      <c r="D4" s="18"/>
      <c r="E4" s="19"/>
      <c r="F4" s="20" t="s">
        <v>12</v>
      </c>
      <c r="H4" s="51">
        <f t="shared" ref="H4:I4" si="0">IF(I6=1,I4-1,I4)</f>
        <v>2019</v>
      </c>
      <c r="I4" s="48">
        <f t="shared" si="0"/>
        <v>2019</v>
      </c>
      <c r="J4" s="48">
        <f>IF(K6=1,K4-1,K4)</f>
        <v>2019</v>
      </c>
      <c r="K4" s="48">
        <f>Forecast!H18</f>
        <v>2019</v>
      </c>
    </row>
    <row r="5" spans="1:15" s="12" customFormat="1" ht="15" hidden="1" outlineLevel="1" x14ac:dyDescent="0.25">
      <c r="F5" s="20" t="s">
        <v>13</v>
      </c>
      <c r="H5" s="52" t="s">
        <v>14</v>
      </c>
      <c r="I5" s="21" t="s">
        <v>71</v>
      </c>
      <c r="J5" s="21" t="s">
        <v>71</v>
      </c>
      <c r="K5" s="21" t="s">
        <v>71</v>
      </c>
    </row>
    <row r="6" spans="1:15" s="12" customFormat="1" ht="15" hidden="1" outlineLevel="1" x14ac:dyDescent="0.25">
      <c r="F6" s="20" t="s">
        <v>15</v>
      </c>
      <c r="H6" s="51">
        <f t="shared" ref="H6" si="1">IF(I6=1,13,I6-1)</f>
        <v>3</v>
      </c>
      <c r="I6" s="48">
        <f>IF(J6=1,13,J6-1)</f>
        <v>4</v>
      </c>
      <c r="J6" s="48">
        <f>IF(K6=1,13,K6-1)</f>
        <v>5</v>
      </c>
      <c r="K6" s="48">
        <f>Forecast!G18</f>
        <v>6</v>
      </c>
    </row>
    <row r="7" spans="1:15" s="12" customFormat="1" ht="15" hidden="1" outlineLevel="1" x14ac:dyDescent="0.25">
      <c r="F7" s="23" t="s">
        <v>16</v>
      </c>
      <c r="H7" s="53" t="s">
        <v>17</v>
      </c>
      <c r="I7" s="24" t="s">
        <v>17</v>
      </c>
      <c r="J7" s="24" t="s">
        <v>17</v>
      </c>
      <c r="K7" s="24" t="s">
        <v>17</v>
      </c>
    </row>
    <row r="8" spans="1:15" hidden="1" outlineLevel="1" x14ac:dyDescent="0.2">
      <c r="H8" s="11"/>
      <c r="I8" s="11"/>
      <c r="J8" s="11"/>
      <c r="K8" s="11"/>
    </row>
    <row r="9" spans="1:15" ht="15.75" collapsed="1" x14ac:dyDescent="0.2">
      <c r="F9" s="119" t="str">
        <f>Forecast!G12&amp;":  "&amp;Forecast!G11</f>
        <v>TH-1027:  Metcalf: 159th to 167th Street</v>
      </c>
      <c r="H9" s="11"/>
      <c r="I9" s="11"/>
      <c r="J9" s="11"/>
      <c r="K9" s="11"/>
    </row>
    <row r="10" spans="1:15" ht="38.25" customHeight="1" thickBot="1" x14ac:dyDescent="0.25">
      <c r="F10" s="118" t="s">
        <v>80</v>
      </c>
      <c r="G10" s="2"/>
      <c r="H10" s="2"/>
      <c r="I10" s="2"/>
      <c r="J10" s="2"/>
      <c r="K10" s="2"/>
    </row>
    <row r="11" spans="1:15" x14ac:dyDescent="0.2">
      <c r="F11" s="2"/>
      <c r="G11" s="216"/>
      <c r="H11" s="82" t="str">
        <f>H5</f>
        <v>LTD</v>
      </c>
      <c r="I11" s="83" t="str">
        <f>I5</f>
        <v>PER</v>
      </c>
      <c r="J11" s="83" t="str">
        <f t="shared" ref="J11:K11" si="2">J5</f>
        <v>PER</v>
      </c>
      <c r="K11" s="83" t="str">
        <f t="shared" si="2"/>
        <v>PER</v>
      </c>
      <c r="L11" s="84"/>
      <c r="M11" s="85"/>
      <c r="O11" s="81" t="s">
        <v>78</v>
      </c>
    </row>
    <row r="12" spans="1:15" ht="28.5" customHeight="1" thickBot="1" x14ac:dyDescent="0.25">
      <c r="F12" s="4"/>
      <c r="G12" s="217" t="s">
        <v>53</v>
      </c>
      <c r="H12" s="86" t="str">
        <f>H6&amp;"/"&amp;H4</f>
        <v>3/2019</v>
      </c>
      <c r="I12" s="78" t="str">
        <f>I6&amp;"/"&amp;I4</f>
        <v>4/2019</v>
      </c>
      <c r="J12" s="78" t="str">
        <f t="shared" ref="J12:K12" si="3">J6&amp;"/"&amp;J4</f>
        <v>5/2019</v>
      </c>
      <c r="K12" s="78" t="str">
        <f t="shared" si="3"/>
        <v>6/2019</v>
      </c>
      <c r="L12" s="79"/>
      <c r="M12" s="87" t="s">
        <v>76</v>
      </c>
      <c r="O12" s="80" t="s">
        <v>79</v>
      </c>
    </row>
    <row r="13" spans="1:15" ht="13.5" thickTop="1" x14ac:dyDescent="0.2">
      <c r="A13" s="25" t="s">
        <v>48</v>
      </c>
      <c r="B13" s="25" t="s">
        <v>49</v>
      </c>
      <c r="C13" s="25" t="s">
        <v>51</v>
      </c>
      <c r="D13" s="25" t="s">
        <v>50</v>
      </c>
      <c r="F13" s="5" t="s">
        <v>57</v>
      </c>
      <c r="G13" s="218"/>
      <c r="H13" s="88"/>
      <c r="I13" s="54"/>
      <c r="J13" s="54"/>
      <c r="K13" s="54"/>
      <c r="L13" s="55"/>
      <c r="M13" s="89"/>
      <c r="O13" s="29"/>
    </row>
    <row r="14" spans="1:15" x14ac:dyDescent="0.2">
      <c r="A14" t="s">
        <v>18</v>
      </c>
      <c r="B14" t="str">
        <f>IF(MID(Forecast!$G$12,3,1)="-",MID(Forecast!$G$12,1,2)&amp;MID(Forecast!$G$12,4,8),Forecast!$G$12)</f>
        <v>TH1027</v>
      </c>
      <c r="C14" t="s">
        <v>19</v>
      </c>
      <c r="D14" t="s">
        <v>18</v>
      </c>
      <c r="F14" s="1" t="s">
        <v>20</v>
      </c>
      <c r="G14" s="219">
        <f>Forecast!G24</f>
        <v>12500000</v>
      </c>
      <c r="H14" s="90">
        <v>3789727.76</v>
      </c>
      <c r="I14" s="65">
        <v>159759.26</v>
      </c>
      <c r="J14" s="65">
        <v>1586552.55</v>
      </c>
      <c r="K14" s="65">
        <v>0</v>
      </c>
      <c r="L14" s="60"/>
      <c r="M14" s="91">
        <f>SUM(H14:L14)</f>
        <v>5536039.5699999994</v>
      </c>
      <c r="N14" s="35"/>
      <c r="O14" s="34">
        <f t="shared" ref="O14:O25" si="4">M14-G14</f>
        <v>-6963960.4300000006</v>
      </c>
    </row>
    <row r="15" spans="1:15" x14ac:dyDescent="0.2">
      <c r="A15" t="s">
        <v>18</v>
      </c>
      <c r="B15" t="str">
        <f>IF(MID(Forecast!$G$12,3,1)="-",MID(Forecast!$G$12,1,2)&amp;MID(Forecast!$G$12,4,8),Forecast!$G$12)</f>
        <v>TH1027</v>
      </c>
      <c r="D15" t="s">
        <v>18</v>
      </c>
      <c r="F15" s="1" t="s">
        <v>21</v>
      </c>
      <c r="G15" s="220">
        <f>Forecast!G25</f>
        <v>625000</v>
      </c>
      <c r="H15" s="92">
        <v>0</v>
      </c>
      <c r="I15" s="62">
        <v>0</v>
      </c>
      <c r="J15" s="62">
        <v>0</v>
      </c>
      <c r="K15" s="62">
        <v>0</v>
      </c>
      <c r="L15" s="93"/>
      <c r="M15" s="94">
        <f t="shared" ref="M15:M25" si="5">SUM(H15:L15)</f>
        <v>0</v>
      </c>
      <c r="N15" s="31"/>
      <c r="O15" s="30">
        <f t="shared" si="4"/>
        <v>-625000</v>
      </c>
    </row>
    <row r="16" spans="1:15" x14ac:dyDescent="0.2">
      <c r="A16" t="s">
        <v>18</v>
      </c>
      <c r="B16" t="str">
        <f>IF(MID(Forecast!$G$12,3,1)="-",MID(Forecast!$G$12,1,2)&amp;MID(Forecast!$G$12,4,8),Forecast!$G$12)</f>
        <v>TH1027</v>
      </c>
      <c r="C16" t="s">
        <v>22</v>
      </c>
      <c r="D16" t="s">
        <v>18</v>
      </c>
      <c r="F16" s="1" t="s">
        <v>60</v>
      </c>
      <c r="G16" s="220">
        <f>Forecast!G26</f>
        <v>70000</v>
      </c>
      <c r="H16" s="92">
        <v>0</v>
      </c>
      <c r="I16" s="62">
        <v>0</v>
      </c>
      <c r="J16" s="62">
        <v>0</v>
      </c>
      <c r="K16" s="62">
        <v>0</v>
      </c>
      <c r="L16" s="93"/>
      <c r="M16" s="94">
        <f t="shared" si="5"/>
        <v>0</v>
      </c>
      <c r="N16" s="31"/>
      <c r="O16" s="30">
        <f t="shared" si="4"/>
        <v>-70000</v>
      </c>
    </row>
    <row r="17" spans="1:15" x14ac:dyDescent="0.2">
      <c r="A17" t="s">
        <v>18</v>
      </c>
      <c r="B17" t="str">
        <f>IF(MID(Forecast!$G$12,3,1)="-",MID(Forecast!$G$12,1,2)&amp;MID(Forecast!$G$12,4,8),Forecast!$G$12)</f>
        <v>TH1027</v>
      </c>
      <c r="C17" t="s">
        <v>23</v>
      </c>
      <c r="D17" t="s">
        <v>24</v>
      </c>
      <c r="F17" s="1" t="s">
        <v>25</v>
      </c>
      <c r="G17" s="220">
        <f>Forecast!G27</f>
        <v>50000</v>
      </c>
      <c r="H17" s="95">
        <v>14713.74</v>
      </c>
      <c r="I17" s="61">
        <v>1679</v>
      </c>
      <c r="J17" s="61">
        <v>7713.5</v>
      </c>
      <c r="K17" s="61">
        <v>0</v>
      </c>
      <c r="L17" s="93"/>
      <c r="M17" s="96">
        <f t="shared" si="5"/>
        <v>24106.239999999998</v>
      </c>
      <c r="N17" s="31"/>
      <c r="O17" s="30">
        <f t="shared" si="4"/>
        <v>-25893.760000000002</v>
      </c>
    </row>
    <row r="18" spans="1:15" x14ac:dyDescent="0.2">
      <c r="A18" t="s">
        <v>18</v>
      </c>
      <c r="B18" t="str">
        <f>IF(MID(Forecast!$G$12,3,1)="-",MID(Forecast!$G$12,1,2)&amp;MID(Forecast!$G$12,4,8),Forecast!$G$12)</f>
        <v>TH1027</v>
      </c>
      <c r="C18" t="s">
        <v>26</v>
      </c>
      <c r="D18" t="s">
        <v>18</v>
      </c>
      <c r="F18" s="1" t="s">
        <v>27</v>
      </c>
      <c r="G18" s="220">
        <f>Forecast!G28</f>
        <v>1000000</v>
      </c>
      <c r="H18" s="95">
        <v>1159333.4099999999</v>
      </c>
      <c r="I18" s="61">
        <v>0</v>
      </c>
      <c r="J18" s="61">
        <v>5320</v>
      </c>
      <c r="K18" s="61">
        <v>0</v>
      </c>
      <c r="L18" s="97"/>
      <c r="M18" s="96">
        <f t="shared" si="5"/>
        <v>1164653.4099999999</v>
      </c>
      <c r="N18" s="31"/>
      <c r="O18" s="30">
        <f t="shared" si="4"/>
        <v>164653.40999999992</v>
      </c>
    </row>
    <row r="19" spans="1:15" x14ac:dyDescent="0.2">
      <c r="A19" t="s">
        <v>18</v>
      </c>
      <c r="B19" t="str">
        <f>IF(MID(Forecast!$G$12,3,1)="-",MID(Forecast!$G$12,1,2)&amp;MID(Forecast!$G$12,4,8),Forecast!$G$12)</f>
        <v>TH1027</v>
      </c>
      <c r="C19" t="s">
        <v>28</v>
      </c>
      <c r="D19" t="s">
        <v>18</v>
      </c>
      <c r="F19" s="1" t="s">
        <v>29</v>
      </c>
      <c r="G19" s="220">
        <f>Forecast!G29</f>
        <v>0</v>
      </c>
      <c r="H19" s="95">
        <v>0</v>
      </c>
      <c r="I19" s="61">
        <v>0</v>
      </c>
      <c r="J19" s="61">
        <v>0</v>
      </c>
      <c r="K19" s="61">
        <v>0</v>
      </c>
      <c r="L19" s="93"/>
      <c r="M19" s="96">
        <f t="shared" si="5"/>
        <v>0</v>
      </c>
      <c r="N19" s="31"/>
      <c r="O19" s="30">
        <f t="shared" si="4"/>
        <v>0</v>
      </c>
    </row>
    <row r="20" spans="1:15" x14ac:dyDescent="0.2">
      <c r="A20" t="s">
        <v>18</v>
      </c>
      <c r="B20" t="str">
        <f>IF(MID(Forecast!$G$12,3,1)="-",MID(Forecast!$G$12,1,2)&amp;MID(Forecast!$G$12,4,8),Forecast!$G$12)</f>
        <v>TH1027</v>
      </c>
      <c r="C20" t="s">
        <v>30</v>
      </c>
      <c r="D20" t="s">
        <v>18</v>
      </c>
      <c r="F20" s="1" t="s">
        <v>31</v>
      </c>
      <c r="G20" s="220">
        <f>Forecast!G30</f>
        <v>500000</v>
      </c>
      <c r="H20" s="95">
        <v>478565</v>
      </c>
      <c r="I20" s="61">
        <v>0</v>
      </c>
      <c r="J20" s="61">
        <v>0</v>
      </c>
      <c r="K20" s="61">
        <v>0</v>
      </c>
      <c r="L20" s="93"/>
      <c r="M20" s="96">
        <f t="shared" si="5"/>
        <v>478565</v>
      </c>
      <c r="N20" s="31"/>
      <c r="O20" s="30">
        <f t="shared" si="4"/>
        <v>-21435</v>
      </c>
    </row>
    <row r="21" spans="1:15" s="2" customFormat="1" x14ac:dyDescent="0.2">
      <c r="A21" s="2" t="s">
        <v>18</v>
      </c>
      <c r="B21" t="str">
        <f>IF(MID(Forecast!$G$12,3,1)="-",MID(Forecast!$G$12,1,2)&amp;MID(Forecast!$G$12,4,8),Forecast!$G$12)</f>
        <v>TH1027</v>
      </c>
      <c r="C21" s="2" t="s">
        <v>32</v>
      </c>
      <c r="D21" s="2" t="s">
        <v>18</v>
      </c>
      <c r="F21" s="1" t="s">
        <v>33</v>
      </c>
      <c r="G21" s="220">
        <f>Forecast!G31</f>
        <v>2000000</v>
      </c>
      <c r="H21" s="95">
        <v>227147.44</v>
      </c>
      <c r="I21" s="61">
        <v>0</v>
      </c>
      <c r="J21" s="61">
        <v>353857.47</v>
      </c>
      <c r="K21" s="61">
        <v>0</v>
      </c>
      <c r="L21" s="93"/>
      <c r="M21" s="96">
        <f t="shared" si="5"/>
        <v>581004.90999999992</v>
      </c>
      <c r="N21" s="32"/>
      <c r="O21" s="30">
        <f t="shared" si="4"/>
        <v>-1418995.09</v>
      </c>
    </row>
    <row r="22" spans="1:15" x14ac:dyDescent="0.2">
      <c r="A22" t="s">
        <v>18</v>
      </c>
      <c r="B22" t="str">
        <f>IF(MID(Forecast!$G$12,3,1)="-",MID(Forecast!$G$12,1,2)&amp;MID(Forecast!$G$12,4,8),Forecast!$G$12)</f>
        <v>TH1027</v>
      </c>
      <c r="C22" t="s">
        <v>23</v>
      </c>
      <c r="D22" t="s">
        <v>34</v>
      </c>
      <c r="F22" s="1" t="s">
        <v>35</v>
      </c>
      <c r="G22" s="220">
        <f>Forecast!G32</f>
        <v>0</v>
      </c>
      <c r="H22" s="95">
        <v>8415.8700000000008</v>
      </c>
      <c r="I22" s="61">
        <v>0</v>
      </c>
      <c r="J22" s="61">
        <v>0</v>
      </c>
      <c r="K22" s="61">
        <v>0</v>
      </c>
      <c r="L22" s="93"/>
      <c r="M22" s="96">
        <f>SUM(H22:L22)</f>
        <v>8415.8700000000008</v>
      </c>
      <c r="N22" s="31"/>
      <c r="O22" s="30">
        <f t="shared" si="4"/>
        <v>8415.8700000000008</v>
      </c>
    </row>
    <row r="23" spans="1:15" x14ac:dyDescent="0.2">
      <c r="A23" t="s">
        <v>18</v>
      </c>
      <c r="B23" t="str">
        <f>IF(MID(Forecast!$G$12,3,1)="-",MID(Forecast!$G$12,1,2)&amp;MID(Forecast!$G$12,4,8),Forecast!$G$12)</f>
        <v>TH1027</v>
      </c>
      <c r="C23" t="s">
        <v>36</v>
      </c>
      <c r="D23" t="s">
        <v>18</v>
      </c>
      <c r="F23" s="1" t="s">
        <v>37</v>
      </c>
      <c r="G23" s="220">
        <f>Forecast!G33</f>
        <v>10000</v>
      </c>
      <c r="H23" s="95">
        <v>98462.68</v>
      </c>
      <c r="I23" s="61">
        <v>0</v>
      </c>
      <c r="J23" s="61">
        <v>0</v>
      </c>
      <c r="K23" s="61">
        <v>0</v>
      </c>
      <c r="L23" s="93"/>
      <c r="M23" s="96">
        <f t="shared" si="5"/>
        <v>98462.68</v>
      </c>
      <c r="N23" s="31"/>
      <c r="O23" s="30">
        <f t="shared" si="4"/>
        <v>88462.68</v>
      </c>
    </row>
    <row r="24" spans="1:15" x14ac:dyDescent="0.2">
      <c r="A24" t="s">
        <v>18</v>
      </c>
      <c r="B24" t="str">
        <f>IF(MID(Forecast!$G$12,3,1)="-",MID(Forecast!$G$12,1,2)&amp;MID(Forecast!$G$12,4,8),Forecast!$G$12)</f>
        <v>TH1027</v>
      </c>
      <c r="C24" t="s">
        <v>38</v>
      </c>
      <c r="D24" t="s">
        <v>18</v>
      </c>
      <c r="F24" s="1" t="s">
        <v>39</v>
      </c>
      <c r="G24" s="220">
        <f>Forecast!G34</f>
        <v>0</v>
      </c>
      <c r="H24" s="95">
        <v>146188</v>
      </c>
      <c r="I24" s="61">
        <v>0</v>
      </c>
      <c r="J24" s="61">
        <v>0</v>
      </c>
      <c r="K24" s="61">
        <v>0</v>
      </c>
      <c r="L24" s="93"/>
      <c r="M24" s="96">
        <f t="shared" si="5"/>
        <v>146188</v>
      </c>
      <c r="N24" s="31"/>
      <c r="O24" s="30">
        <f t="shared" si="4"/>
        <v>146188</v>
      </c>
    </row>
    <row r="25" spans="1:15" x14ac:dyDescent="0.2">
      <c r="A25" t="s">
        <v>18</v>
      </c>
      <c r="B25" t="str">
        <f>IF(MID(Forecast!$G$12,3,1)="-",MID(Forecast!$G$12,1,2)&amp;MID(Forecast!$G$12,4,8),Forecast!$G$12)</f>
        <v>TH1027</v>
      </c>
      <c r="C25" t="s">
        <v>40</v>
      </c>
      <c r="D25" t="s">
        <v>18</v>
      </c>
      <c r="F25" s="6" t="s">
        <v>41</v>
      </c>
      <c r="G25" s="220">
        <f>Forecast!G35</f>
        <v>250000</v>
      </c>
      <c r="H25" s="98">
        <v>305130</v>
      </c>
      <c r="I25" s="63">
        <v>0</v>
      </c>
      <c r="J25" s="63">
        <v>0</v>
      </c>
      <c r="K25" s="63">
        <v>0</v>
      </c>
      <c r="L25" s="56"/>
      <c r="M25" s="99">
        <f t="shared" si="5"/>
        <v>305130</v>
      </c>
      <c r="N25" s="31"/>
      <c r="O25" s="33">
        <f t="shared" si="4"/>
        <v>55130</v>
      </c>
    </row>
    <row r="26" spans="1:15" s="7" customFormat="1" x14ac:dyDescent="0.2">
      <c r="F26" s="227" t="s">
        <v>6</v>
      </c>
      <c r="G26" s="223">
        <f>SUM(G14:G25)</f>
        <v>17005000</v>
      </c>
      <c r="H26" s="100"/>
      <c r="I26" s="66"/>
      <c r="J26" s="66"/>
      <c r="K26" s="66"/>
      <c r="L26" s="101"/>
      <c r="M26" s="102"/>
      <c r="N26" s="37"/>
      <c r="O26" s="36"/>
    </row>
    <row r="27" spans="1:15" s="3" customFormat="1" x14ac:dyDescent="0.2">
      <c r="A27" t="s">
        <v>18</v>
      </c>
      <c r="B27" t="str">
        <f>IF(MID(Forecast!$G$12,3,1)="-",MID(Forecast!$G$12,1,2)&amp;MID(Forecast!$G$12,4,8),Forecast!$G$12)</f>
        <v>TH1027</v>
      </c>
      <c r="C27" s="26" t="s">
        <v>52</v>
      </c>
      <c r="D27" t="s">
        <v>18</v>
      </c>
      <c r="F27" s="47" t="s">
        <v>7</v>
      </c>
      <c r="G27" s="224"/>
      <c r="H27" s="103">
        <v>6227683.9000000004</v>
      </c>
      <c r="I27" s="67">
        <v>161438.26</v>
      </c>
      <c r="J27" s="67">
        <v>1953443.52</v>
      </c>
      <c r="K27" s="67">
        <v>0</v>
      </c>
      <c r="L27" s="104"/>
      <c r="M27" s="105">
        <f>IF(SUM(M14:M25)=SUM(H27:K27),SUM(M14:M25),"Error")</f>
        <v>8342565.6799999997</v>
      </c>
      <c r="N27" s="38"/>
      <c r="O27" s="42">
        <f>SUM(O14:O25)</f>
        <v>-8662434.3200000022</v>
      </c>
    </row>
    <row r="28" spans="1:15" s="9" customFormat="1" ht="6.75" customHeight="1" x14ac:dyDescent="0.2">
      <c r="F28" s="8"/>
      <c r="G28" s="225"/>
      <c r="H28" s="106"/>
      <c r="I28" s="68"/>
      <c r="J28" s="68"/>
      <c r="K28" s="68"/>
      <c r="L28" s="59"/>
      <c r="M28" s="107"/>
      <c r="N28" s="40"/>
      <c r="O28" s="39"/>
    </row>
    <row r="29" spans="1:15" x14ac:dyDescent="0.2">
      <c r="F29" s="1"/>
      <c r="G29" s="221"/>
      <c r="H29" s="108"/>
      <c r="I29" s="64"/>
      <c r="J29" s="64"/>
      <c r="K29" s="64"/>
      <c r="L29" s="93"/>
      <c r="M29" s="109"/>
      <c r="N29" s="31"/>
      <c r="O29" s="30"/>
    </row>
    <row r="30" spans="1:15" x14ac:dyDescent="0.2">
      <c r="F30" s="3" t="s">
        <v>58</v>
      </c>
      <c r="G30" s="221"/>
      <c r="H30" s="92"/>
      <c r="I30" s="62"/>
      <c r="J30" s="62"/>
      <c r="K30" s="62"/>
      <c r="L30" s="93"/>
      <c r="M30" s="94"/>
      <c r="N30" s="32"/>
      <c r="O30" s="30"/>
    </row>
    <row r="31" spans="1:15" x14ac:dyDescent="0.2">
      <c r="A31" t="s">
        <v>18</v>
      </c>
      <c r="B31" t="str">
        <f>IF(MID(Forecast!$G$12,3,1)="-",MID(Forecast!$G$12,1,2)&amp;MID(Forecast!$G$12,4,8),Forecast!$G$12)</f>
        <v>TH1027</v>
      </c>
      <c r="C31" s="26" t="s">
        <v>62</v>
      </c>
      <c r="D31" t="s">
        <v>63</v>
      </c>
      <c r="F31" s="1" t="s">
        <v>56</v>
      </c>
      <c r="G31" s="220">
        <f>Forecast!G41</f>
        <v>0</v>
      </c>
      <c r="H31" s="110">
        <v>0</v>
      </c>
      <c r="I31" s="69">
        <v>0</v>
      </c>
      <c r="J31" s="69">
        <v>0</v>
      </c>
      <c r="K31" s="69">
        <v>0</v>
      </c>
      <c r="L31" s="60"/>
      <c r="M31" s="111">
        <f>SUM(H31:L31)</f>
        <v>0</v>
      </c>
      <c r="N31" s="35"/>
      <c r="O31" s="34">
        <f>G31-M31</f>
        <v>0</v>
      </c>
    </row>
    <row r="32" spans="1:15" x14ac:dyDescent="0.2">
      <c r="A32" t="s">
        <v>18</v>
      </c>
      <c r="B32" t="str">
        <f>IF(MID(Forecast!$G$12,3,1)="-",MID(Forecast!$G$12,1,2)&amp;MID(Forecast!$G$12,4,8),Forecast!$G$12)</f>
        <v>TH1027</v>
      </c>
      <c r="C32" s="26" t="s">
        <v>42</v>
      </c>
      <c r="D32" t="s">
        <v>43</v>
      </c>
      <c r="F32" s="1" t="s">
        <v>59</v>
      </c>
      <c r="G32" s="220">
        <f>Forecast!G42</f>
        <v>3392000</v>
      </c>
      <c r="H32" s="92">
        <v>0</v>
      </c>
      <c r="I32" s="62">
        <v>0</v>
      </c>
      <c r="J32" s="62">
        <v>0</v>
      </c>
      <c r="K32" s="62">
        <v>0</v>
      </c>
      <c r="L32" s="93"/>
      <c r="M32" s="94">
        <f t="shared" ref="M32:M38" si="6">SUM(H32:L32)</f>
        <v>0</v>
      </c>
      <c r="N32" s="31"/>
      <c r="O32" s="30">
        <f t="shared" ref="O32:O38" si="7">G32-M32</f>
        <v>3392000</v>
      </c>
    </row>
    <row r="33" spans="1:15" x14ac:dyDescent="0.2">
      <c r="A33" t="s">
        <v>18</v>
      </c>
      <c r="B33" t="str">
        <f>IF(MID(Forecast!$G$12,3,1)="-",MID(Forecast!$G$12,1,2)&amp;MID(Forecast!$G$12,4,8),Forecast!$G$12)</f>
        <v>TH1027</v>
      </c>
      <c r="C33" s="26" t="s">
        <v>42</v>
      </c>
      <c r="D33" t="s">
        <v>44</v>
      </c>
      <c r="F33" s="1" t="s">
        <v>45</v>
      </c>
      <c r="G33" s="220">
        <f>Forecast!G43</f>
        <v>0</v>
      </c>
      <c r="H33" s="92">
        <v>0</v>
      </c>
      <c r="I33" s="62">
        <v>0</v>
      </c>
      <c r="J33" s="62">
        <v>0</v>
      </c>
      <c r="K33" s="62">
        <v>0</v>
      </c>
      <c r="L33" s="93"/>
      <c r="M33" s="94">
        <f t="shared" si="6"/>
        <v>0</v>
      </c>
      <c r="N33" s="31"/>
      <c r="O33" s="30">
        <f t="shared" si="7"/>
        <v>0</v>
      </c>
    </row>
    <row r="34" spans="1:15" x14ac:dyDescent="0.2">
      <c r="A34" t="s">
        <v>18</v>
      </c>
      <c r="B34" t="str">
        <f>IF(MID(Forecast!$G$12,3,1)="-",MID(Forecast!$G$12,1,2)&amp;MID(Forecast!$G$12,4,8),Forecast!$G$12)</f>
        <v>TH1027</v>
      </c>
      <c r="C34" s="26" t="s">
        <v>42</v>
      </c>
      <c r="D34" s="26" t="s">
        <v>69</v>
      </c>
      <c r="F34" s="1" t="s">
        <v>64</v>
      </c>
      <c r="G34" s="220">
        <f>Forecast!G44</f>
        <v>6640000</v>
      </c>
      <c r="H34" s="92">
        <v>0</v>
      </c>
      <c r="I34" s="62">
        <v>0</v>
      </c>
      <c r="J34" s="62">
        <v>0</v>
      </c>
      <c r="K34" s="62">
        <v>0</v>
      </c>
      <c r="L34" s="93"/>
      <c r="M34" s="94">
        <f t="shared" si="6"/>
        <v>0</v>
      </c>
      <c r="N34" s="31"/>
      <c r="O34" s="30">
        <f t="shared" si="7"/>
        <v>6640000</v>
      </c>
    </row>
    <row r="35" spans="1:15" x14ac:dyDescent="0.2">
      <c r="A35" t="s">
        <v>18</v>
      </c>
      <c r="B35" t="str">
        <f>IF(MID(Forecast!$G$12,3,1)="-",MID(Forecast!$G$12,1,2)&amp;MID(Forecast!$G$12,4,8),Forecast!$G$12)</f>
        <v>TH1027</v>
      </c>
      <c r="C35" s="26" t="s">
        <v>42</v>
      </c>
      <c r="D35" s="26" t="s">
        <v>65</v>
      </c>
      <c r="F35" s="1" t="s">
        <v>61</v>
      </c>
      <c r="G35" s="220">
        <f>Forecast!G45</f>
        <v>0</v>
      </c>
      <c r="H35" s="92">
        <v>0</v>
      </c>
      <c r="I35" s="62">
        <v>0</v>
      </c>
      <c r="J35" s="62">
        <v>0</v>
      </c>
      <c r="K35" s="62">
        <v>0</v>
      </c>
      <c r="L35" s="93"/>
      <c r="M35" s="94">
        <f t="shared" si="6"/>
        <v>0</v>
      </c>
      <c r="N35" s="31"/>
      <c r="O35" s="30">
        <f t="shared" si="7"/>
        <v>0</v>
      </c>
    </row>
    <row r="36" spans="1:15" x14ac:dyDescent="0.2">
      <c r="A36" t="s">
        <v>18</v>
      </c>
      <c r="B36" t="str">
        <f>IF(MID(Forecast!$G$12,3,1)="-",MID(Forecast!$G$12,1,2)&amp;MID(Forecast!$G$12,4,8),Forecast!$G$12)</f>
        <v>TH1027</v>
      </c>
      <c r="C36" s="26" t="s">
        <v>42</v>
      </c>
      <c r="D36" s="26" t="s">
        <v>68</v>
      </c>
      <c r="F36" s="1" t="s">
        <v>67</v>
      </c>
      <c r="G36" s="220">
        <f>Forecast!G46</f>
        <v>0</v>
      </c>
      <c r="H36" s="92">
        <v>0</v>
      </c>
      <c r="I36" s="62">
        <v>0</v>
      </c>
      <c r="J36" s="62">
        <v>0</v>
      </c>
      <c r="K36" s="62">
        <v>0</v>
      </c>
      <c r="L36" s="93"/>
      <c r="M36" s="94">
        <f t="shared" si="6"/>
        <v>0</v>
      </c>
      <c r="N36" s="31"/>
      <c r="O36" s="30">
        <f t="shared" si="7"/>
        <v>0</v>
      </c>
    </row>
    <row r="37" spans="1:15" x14ac:dyDescent="0.2">
      <c r="A37" t="s">
        <v>18</v>
      </c>
      <c r="B37" t="str">
        <f>IF(MID(Forecast!$G$12,3,1)="-",MID(Forecast!$G$12,1,2)&amp;MID(Forecast!$G$12,4,8),Forecast!$G$12)</f>
        <v>TH1027</v>
      </c>
      <c r="C37" s="26" t="s">
        <v>46</v>
      </c>
      <c r="D37" t="s">
        <v>47</v>
      </c>
      <c r="F37" s="1" t="s">
        <v>66</v>
      </c>
      <c r="G37" s="220">
        <f>Forecast!G47</f>
        <v>0</v>
      </c>
      <c r="H37" s="92">
        <v>0</v>
      </c>
      <c r="I37" s="62">
        <v>0</v>
      </c>
      <c r="J37" s="62">
        <v>0</v>
      </c>
      <c r="K37" s="62">
        <v>0</v>
      </c>
      <c r="L37" s="93"/>
      <c r="M37" s="94">
        <f t="shared" si="6"/>
        <v>0</v>
      </c>
      <c r="N37" s="31"/>
      <c r="O37" s="30">
        <f t="shared" si="7"/>
        <v>0</v>
      </c>
    </row>
    <row r="38" spans="1:15" x14ac:dyDescent="0.2">
      <c r="F38" s="6"/>
      <c r="G38" s="222"/>
      <c r="H38" s="98"/>
      <c r="I38" s="63"/>
      <c r="J38" s="63"/>
      <c r="K38" s="63"/>
      <c r="L38" s="56"/>
      <c r="M38" s="99">
        <f t="shared" si="6"/>
        <v>0</v>
      </c>
      <c r="N38" s="31"/>
      <c r="O38" s="33">
        <f t="shared" si="7"/>
        <v>0</v>
      </c>
    </row>
    <row r="39" spans="1:15" s="7" customFormat="1" x14ac:dyDescent="0.2">
      <c r="F39" s="228" t="s">
        <v>8</v>
      </c>
      <c r="G39" s="223">
        <f>SUM(G31:G38)</f>
        <v>10032000</v>
      </c>
      <c r="H39" s="112"/>
      <c r="I39" s="41"/>
      <c r="J39" s="41"/>
      <c r="K39" s="41"/>
      <c r="L39" s="57"/>
      <c r="M39" s="113"/>
      <c r="N39" s="37"/>
      <c r="O39" s="41"/>
    </row>
    <row r="40" spans="1:15" s="3" customFormat="1" x14ac:dyDescent="0.2">
      <c r="F40" s="47" t="s">
        <v>9</v>
      </c>
      <c r="G40" s="224"/>
      <c r="H40" s="103">
        <f>SUM(H31:H38)</f>
        <v>0</v>
      </c>
      <c r="I40" s="67">
        <f>SUM(I31:I38)</f>
        <v>0</v>
      </c>
      <c r="J40" s="67">
        <f t="shared" ref="J40:K40" si="8">SUM(J31:J38)</f>
        <v>0</v>
      </c>
      <c r="K40" s="67">
        <f t="shared" si="8"/>
        <v>0</v>
      </c>
      <c r="L40" s="58"/>
      <c r="M40" s="105">
        <f>IF(SUM(M31:M38)=SUM(H40:K40),SUM(M31:M38),"Error")</f>
        <v>0</v>
      </c>
      <c r="N40" s="38"/>
      <c r="O40" s="42">
        <f>SUM(O31:O38)</f>
        <v>10032000</v>
      </c>
    </row>
    <row r="41" spans="1:15" s="10" customFormat="1" ht="5.25" customHeight="1" thickBot="1" x14ac:dyDescent="0.25">
      <c r="F41" s="8"/>
      <c r="G41" s="226"/>
      <c r="H41" s="114"/>
      <c r="I41" s="115"/>
      <c r="J41" s="115"/>
      <c r="K41" s="115"/>
      <c r="L41" s="116"/>
      <c r="M41" s="117"/>
      <c r="N41" s="43"/>
      <c r="O41" s="39"/>
    </row>
    <row r="42" spans="1:15" x14ac:dyDescent="0.2">
      <c r="F42" s="1"/>
      <c r="G42" s="44"/>
      <c r="H42" s="71"/>
      <c r="I42" s="72"/>
      <c r="J42" s="72"/>
      <c r="K42" s="72"/>
      <c r="L42" s="60"/>
      <c r="M42" s="34"/>
      <c r="N42" s="35"/>
      <c r="O42" s="34"/>
    </row>
    <row r="43" spans="1:15" ht="13.5" thickBot="1" x14ac:dyDescent="0.25">
      <c r="F43" s="27"/>
      <c r="G43" s="70" t="s">
        <v>70</v>
      </c>
      <c r="H43" s="73">
        <f>H40-H27</f>
        <v>-6227683.9000000004</v>
      </c>
      <c r="I43" s="74">
        <f>I40-I27</f>
        <v>-161438.26</v>
      </c>
      <c r="J43" s="74">
        <f t="shared" ref="J43" si="9">J40-J27</f>
        <v>-1953443.52</v>
      </c>
      <c r="K43" s="74">
        <f>K40-K27</f>
        <v>0</v>
      </c>
      <c r="L43" s="77"/>
      <c r="M43" s="45">
        <f>M40-M27</f>
        <v>-8342565.6799999997</v>
      </c>
      <c r="N43" s="75"/>
      <c r="O43" s="76">
        <f>O39-O26</f>
        <v>0</v>
      </c>
    </row>
    <row r="44" spans="1:15" ht="13.5" thickTop="1" x14ac:dyDescent="0.2">
      <c r="F44" s="2"/>
      <c r="G44" s="2"/>
      <c r="H44" s="49"/>
      <c r="I44" s="49"/>
      <c r="J44" s="49"/>
      <c r="K44" s="49"/>
      <c r="O44" s="46"/>
    </row>
    <row r="45" spans="1:15" x14ac:dyDescent="0.2">
      <c r="F45" s="2"/>
      <c r="G45" s="2"/>
      <c r="H45" s="2"/>
      <c r="I45" s="2"/>
      <c r="J45" s="2"/>
      <c r="K45" s="2"/>
    </row>
  </sheetData>
  <conditionalFormatting sqref="O43">
    <cfRule type="cellIs" dxfId="0" priority="1" operator="equal">
      <formula>0</formula>
    </cfRule>
  </conditionalFormatting>
  <pageMargins left="0.95" right="0.28999999999999998" top="0.55000000000000004" bottom="0.75" header="0.3" footer="0.3"/>
  <pageSetup scale="58" fitToHeight="0" pageOrder="overThenDown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Forecast</vt:lpstr>
      <vt:lpstr>Actuals</vt:lpstr>
      <vt:lpstr>Actuals!Print_Area</vt:lpstr>
      <vt:lpstr>Forecast!Print_Area</vt:lpstr>
      <vt:lpstr>Actuals!Print_Titles</vt:lpstr>
      <vt:lpstr>Forecast!Print_Titles</vt:lpstr>
    </vt:vector>
  </TitlesOfParts>
  <Company>City Of Overland Park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Gena McDonald</dc:creator>
  <cp:lastModifiedBy>Tony Rome</cp:lastModifiedBy>
  <cp:lastPrinted>2013-10-02T21:26:45Z</cp:lastPrinted>
  <dcterms:created xsi:type="dcterms:W3CDTF">2013-09-20T21:16:01Z</dcterms:created>
  <dcterms:modified xsi:type="dcterms:W3CDTF">2019-06-28T18:25:29Z</dcterms:modified>
</cp:coreProperties>
</file>